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rp_planning_research\Research Projects\A AusPlay Survey 2015\Data\Reports\National Tables\Release 8 Apr 20\"/>
    </mc:Choice>
  </mc:AlternateContent>
  <bookViews>
    <workbookView xWindow="-105" yWindow="-105" windowWidth="23250" windowHeight="12570" firstSheet="1" activeTab="1"/>
  </bookViews>
  <sheets>
    <sheet name="Additional functionality" sheetId="12" state="hidden" r:id="rId1"/>
    <sheet name="Sig test across jurisdictions" sheetId="9" r:id="rId2"/>
    <sheet name="Sig test across time" sheetId="10" r:id="rId3"/>
    <sheet name="Max, Min Adult+Child limits" sheetId="14" r:id="rId4"/>
    <sheet name="Options &amp; WEFF across juris" sheetId="11" state="hidden" r:id="rId5"/>
    <sheet name="Options and WEFFS across time" sheetId="5" state="hidden" r:id="rId6"/>
    <sheet name="Options &amp; WEFF Max, Min" sheetId="15" state="hidden" r:id="rId7"/>
    <sheet name="WEFF values source" sheetId="4" state="hidden" r:id="rId8"/>
    <sheet name="Summary for Sigtest sheet" sheetId="17" state="hidden" r:id="rId9"/>
    <sheet name="WEFF values" sheetId="3" state="hidden" r:id="rId10"/>
  </sheets>
  <externalReferences>
    <externalReference r:id="rId11"/>
    <externalReference r:id="rId12"/>
    <externalReference r:id="rId13"/>
  </externalReferences>
  <definedNames>
    <definedName name="Bencharmark_Quarter_number">[1]setting!$C$9</definedName>
    <definedName name="Benchmark_QTR">[1]setting!$C$4</definedName>
    <definedName name="Benchmark_YEAR">[1]setting!$C$3</definedName>
    <definedName name="frac_1">'Options &amp; WEFF across juris'!$U$15</definedName>
    <definedName name="frac_2">'Options &amp; WEFF across juris'!$Y$15</definedName>
    <definedName name="frac_3">'Options and WEFFS across time'!$Q$12</definedName>
    <definedName name="frac_4">'Options and WEFFS across time'!$U$12</definedName>
    <definedName name="frac_5">'Options &amp; WEFF Max, Min'!$K$15</definedName>
    <definedName name="frac_6">'Options &amp; WEFF Max, Min'!$O$15</definedName>
    <definedName name="Full">'[2]Explanatory Notes'!#REF!</definedName>
    <definedName name="MOseries" localSheetId="8">#REF!</definedName>
    <definedName name="MOseries">#REF!</definedName>
    <definedName name="pc" localSheetId="8">#REF!</definedName>
    <definedName name="pc">#REF!</definedName>
    <definedName name="Prev_qtr__QTR">[1]setting!$C$11</definedName>
    <definedName name="Prev_qtr__YEAR">[1]setting!$C$12</definedName>
    <definedName name="Proj_ERP_YearQtr">[1]setting!$C$13</definedName>
    <definedName name="Sheet1" localSheetId="8">#REF!</definedName>
    <definedName name="Sheet1">#REF!</definedName>
    <definedName name="timeperiod" localSheetId="8">#REF!</definedName>
    <definedName name="timeperiod">#REF!</definedName>
    <definedName name="WEFF_1">'Options &amp; WEFF across juris'!$T$15</definedName>
    <definedName name="WEFF_2">'Options &amp; WEFF across juris'!$X$15</definedName>
    <definedName name="WEFF_3">'Options and WEFFS across time'!$P$12</definedName>
    <definedName name="WEFF_4">'Options and WEFFS across time'!$T$12</definedName>
    <definedName name="WEFF_5">'Options &amp; WEFF Max, Min'!$J$15</definedName>
    <definedName name="WEFF_6">'Options &amp; WEFF Max, Min'!$N$15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14" i="3" l="1"/>
  <c r="AF14" i="3"/>
  <c r="AK13" i="3"/>
  <c r="AG13" i="3"/>
  <c r="AL12" i="3"/>
  <c r="AH12" i="3"/>
  <c r="AA12" i="3"/>
  <c r="AI11" i="3"/>
  <c r="AE11" i="3"/>
  <c r="AK9" i="3"/>
  <c r="AG9" i="3"/>
  <c r="AL8" i="3"/>
  <c r="AH8" i="3"/>
  <c r="AA8" i="3"/>
  <c r="AI7" i="3"/>
  <c r="AE7" i="3"/>
  <c r="X7" i="3"/>
  <c r="T7" i="3"/>
  <c r="U25" i="17"/>
  <c r="AL28" i="3" s="1"/>
  <c r="T25" i="17"/>
  <c r="AK28" i="3" s="1"/>
  <c r="S25" i="17"/>
  <c r="AJ28" i="3" s="1"/>
  <c r="R25" i="17"/>
  <c r="AI28" i="3" s="1"/>
  <c r="Q25" i="17"/>
  <c r="AH28" i="3" s="1"/>
  <c r="P25" i="17"/>
  <c r="AG28" i="3" s="1"/>
  <c r="O25" i="17"/>
  <c r="AF28" i="3" s="1"/>
  <c r="N25" i="17"/>
  <c r="AE28" i="3" s="1"/>
  <c r="I25" i="17"/>
  <c r="Z28" i="3" s="1"/>
  <c r="H25" i="17"/>
  <c r="Y28" i="3" s="1"/>
  <c r="G25" i="17"/>
  <c r="X28" i="3" s="1"/>
  <c r="F25" i="17"/>
  <c r="W28" i="3" s="1"/>
  <c r="E25" i="17"/>
  <c r="V28" i="3" s="1"/>
  <c r="D25" i="17"/>
  <c r="U28" i="3" s="1"/>
  <c r="C25" i="17"/>
  <c r="T28" i="3" s="1"/>
  <c r="U24" i="17"/>
  <c r="AL27" i="3" s="1"/>
  <c r="T24" i="17"/>
  <c r="AK27" i="3" s="1"/>
  <c r="S24" i="17"/>
  <c r="AJ27" i="3" s="1"/>
  <c r="R24" i="17"/>
  <c r="AI27" i="3" s="1"/>
  <c r="Q24" i="17"/>
  <c r="AH27" i="3" s="1"/>
  <c r="P24" i="17"/>
  <c r="AG27" i="3" s="1"/>
  <c r="O24" i="17"/>
  <c r="AF27" i="3" s="1"/>
  <c r="N24" i="17"/>
  <c r="AE27" i="3" s="1"/>
  <c r="I24" i="17"/>
  <c r="Z27" i="3" s="1"/>
  <c r="H24" i="17"/>
  <c r="Y27" i="3" s="1"/>
  <c r="G24" i="17"/>
  <c r="X27" i="3" s="1"/>
  <c r="F24" i="17"/>
  <c r="W27" i="3" s="1"/>
  <c r="E24" i="17"/>
  <c r="V27" i="3" s="1"/>
  <c r="D24" i="17"/>
  <c r="U27" i="3" s="1"/>
  <c r="C24" i="17"/>
  <c r="T27" i="3" s="1"/>
  <c r="U23" i="17"/>
  <c r="AL26" i="3" s="1"/>
  <c r="T23" i="17"/>
  <c r="AK26" i="3" s="1"/>
  <c r="S23" i="17"/>
  <c r="AJ26" i="3" s="1"/>
  <c r="R23" i="17"/>
  <c r="AI26" i="3" s="1"/>
  <c r="Q23" i="17"/>
  <c r="AH26" i="3" s="1"/>
  <c r="P23" i="17"/>
  <c r="AG26" i="3" s="1"/>
  <c r="O23" i="17"/>
  <c r="AF26" i="3" s="1"/>
  <c r="N23" i="17"/>
  <c r="AE26" i="3" s="1"/>
  <c r="I23" i="17"/>
  <c r="Z26" i="3" s="1"/>
  <c r="H23" i="17"/>
  <c r="Y26" i="3" s="1"/>
  <c r="G23" i="17"/>
  <c r="X26" i="3" s="1"/>
  <c r="F23" i="17"/>
  <c r="W26" i="3" s="1"/>
  <c r="E23" i="17"/>
  <c r="V26" i="3" s="1"/>
  <c r="D23" i="17"/>
  <c r="U26" i="3" s="1"/>
  <c r="C23" i="17"/>
  <c r="T26" i="3" s="1"/>
  <c r="U22" i="17"/>
  <c r="AL25" i="3" s="1"/>
  <c r="T22" i="17"/>
  <c r="AK25" i="3" s="1"/>
  <c r="S22" i="17"/>
  <c r="AJ25" i="3" s="1"/>
  <c r="R22" i="17"/>
  <c r="AI25" i="3" s="1"/>
  <c r="Q22" i="17"/>
  <c r="AH25" i="3" s="1"/>
  <c r="P22" i="17"/>
  <c r="AG25" i="3" s="1"/>
  <c r="O22" i="17"/>
  <c r="AF25" i="3" s="1"/>
  <c r="N22" i="17"/>
  <c r="AE25" i="3" s="1"/>
  <c r="I22" i="17"/>
  <c r="Z25" i="3" s="1"/>
  <c r="H22" i="17"/>
  <c r="Y25" i="3" s="1"/>
  <c r="G22" i="17"/>
  <c r="X25" i="3" s="1"/>
  <c r="F22" i="17"/>
  <c r="W25" i="3" s="1"/>
  <c r="E22" i="17"/>
  <c r="V25" i="3" s="1"/>
  <c r="D22" i="17"/>
  <c r="U25" i="3" s="1"/>
  <c r="C22" i="17"/>
  <c r="T25" i="3" s="1"/>
  <c r="U21" i="17"/>
  <c r="AL24" i="3" s="1"/>
  <c r="T21" i="17"/>
  <c r="AK24" i="3" s="1"/>
  <c r="S21" i="17"/>
  <c r="AJ24" i="3" s="1"/>
  <c r="R21" i="17"/>
  <c r="AI24" i="3" s="1"/>
  <c r="Q21" i="17"/>
  <c r="AH24" i="3" s="1"/>
  <c r="P21" i="17"/>
  <c r="AG24" i="3" s="1"/>
  <c r="O21" i="17"/>
  <c r="AF24" i="3" s="1"/>
  <c r="N21" i="17"/>
  <c r="AE24" i="3" s="1"/>
  <c r="I21" i="17"/>
  <c r="Z24" i="3" s="1"/>
  <c r="H21" i="17"/>
  <c r="Y24" i="3" s="1"/>
  <c r="G21" i="17"/>
  <c r="X24" i="3" s="1"/>
  <c r="F21" i="17"/>
  <c r="W24" i="3" s="1"/>
  <c r="E21" i="17"/>
  <c r="V24" i="3" s="1"/>
  <c r="D21" i="17"/>
  <c r="U24" i="3" s="1"/>
  <c r="C21" i="17"/>
  <c r="T24" i="3" s="1"/>
  <c r="U20" i="17"/>
  <c r="AL23" i="3" s="1"/>
  <c r="T20" i="17"/>
  <c r="AK23" i="3" s="1"/>
  <c r="S20" i="17"/>
  <c r="AJ23" i="3" s="1"/>
  <c r="R20" i="17"/>
  <c r="AI23" i="3" s="1"/>
  <c r="Q20" i="17"/>
  <c r="AH23" i="3" s="1"/>
  <c r="P20" i="17"/>
  <c r="AG23" i="3" s="1"/>
  <c r="O20" i="17"/>
  <c r="AF23" i="3" s="1"/>
  <c r="N20" i="17"/>
  <c r="AE23" i="3" s="1"/>
  <c r="I20" i="17"/>
  <c r="Z23" i="3" s="1"/>
  <c r="H20" i="17"/>
  <c r="Y23" i="3" s="1"/>
  <c r="G20" i="17"/>
  <c r="X23" i="3" s="1"/>
  <c r="F20" i="17"/>
  <c r="W23" i="3" s="1"/>
  <c r="E20" i="17"/>
  <c r="V23" i="3" s="1"/>
  <c r="D20" i="17"/>
  <c r="U23" i="3" s="1"/>
  <c r="C20" i="17"/>
  <c r="T23" i="3" s="1"/>
  <c r="U19" i="17"/>
  <c r="AL22" i="3" s="1"/>
  <c r="T19" i="17"/>
  <c r="AK22" i="3" s="1"/>
  <c r="S19" i="17"/>
  <c r="AJ22" i="3" s="1"/>
  <c r="R19" i="17"/>
  <c r="AI22" i="3" s="1"/>
  <c r="Q19" i="17"/>
  <c r="AH22" i="3" s="1"/>
  <c r="P19" i="17"/>
  <c r="AG22" i="3" s="1"/>
  <c r="O19" i="17"/>
  <c r="AF22" i="3" s="1"/>
  <c r="N19" i="17"/>
  <c r="AE22" i="3" s="1"/>
  <c r="I19" i="17"/>
  <c r="Z22" i="3" s="1"/>
  <c r="H19" i="17"/>
  <c r="Y22" i="3" s="1"/>
  <c r="G19" i="17"/>
  <c r="X22" i="3" s="1"/>
  <c r="F19" i="17"/>
  <c r="W22" i="3" s="1"/>
  <c r="E19" i="17"/>
  <c r="V22" i="3" s="1"/>
  <c r="D19" i="17"/>
  <c r="U22" i="3" s="1"/>
  <c r="C19" i="17"/>
  <c r="T22" i="3" s="1"/>
  <c r="U18" i="17"/>
  <c r="AL21" i="3" s="1"/>
  <c r="T18" i="17"/>
  <c r="AK21" i="3" s="1"/>
  <c r="S18" i="17"/>
  <c r="AJ21" i="3" s="1"/>
  <c r="R18" i="17"/>
  <c r="AI21" i="3" s="1"/>
  <c r="Q18" i="17"/>
  <c r="AH21" i="3" s="1"/>
  <c r="P18" i="17"/>
  <c r="AG21" i="3" s="1"/>
  <c r="O18" i="17"/>
  <c r="AF21" i="3" s="1"/>
  <c r="N18" i="17"/>
  <c r="AE21" i="3" s="1"/>
  <c r="I18" i="17"/>
  <c r="Z21" i="3" s="1"/>
  <c r="H18" i="17"/>
  <c r="Y21" i="3" s="1"/>
  <c r="G18" i="17"/>
  <c r="X21" i="3" s="1"/>
  <c r="F18" i="17"/>
  <c r="W21" i="3" s="1"/>
  <c r="E18" i="17"/>
  <c r="V21" i="3" s="1"/>
  <c r="D18" i="17"/>
  <c r="U21" i="3" s="1"/>
  <c r="C18" i="17"/>
  <c r="T21" i="3" s="1"/>
  <c r="U17" i="17"/>
  <c r="AL20" i="3" s="1"/>
  <c r="T17" i="17"/>
  <c r="AK20" i="3" s="1"/>
  <c r="S17" i="17"/>
  <c r="AJ20" i="3" s="1"/>
  <c r="R17" i="17"/>
  <c r="AI20" i="3" s="1"/>
  <c r="Q17" i="17"/>
  <c r="AH20" i="3" s="1"/>
  <c r="P17" i="17"/>
  <c r="AG20" i="3" s="1"/>
  <c r="O17" i="17"/>
  <c r="AF20" i="3" s="1"/>
  <c r="N17" i="17"/>
  <c r="AE20" i="3" s="1"/>
  <c r="I17" i="17"/>
  <c r="Z20" i="3" s="1"/>
  <c r="H17" i="17"/>
  <c r="Y20" i="3" s="1"/>
  <c r="G17" i="17"/>
  <c r="X20" i="3" s="1"/>
  <c r="F17" i="17"/>
  <c r="W20" i="3" s="1"/>
  <c r="E17" i="17"/>
  <c r="V20" i="3" s="1"/>
  <c r="D17" i="17"/>
  <c r="U20" i="3" s="1"/>
  <c r="C17" i="17"/>
  <c r="T20" i="3" s="1"/>
  <c r="U12" i="17"/>
  <c r="AL15" i="3" s="1"/>
  <c r="T12" i="17"/>
  <c r="AK15" i="3" s="1"/>
  <c r="S12" i="17"/>
  <c r="AJ15" i="3" s="1"/>
  <c r="R12" i="17"/>
  <c r="AI15" i="3" s="1"/>
  <c r="Q12" i="17"/>
  <c r="AH15" i="3" s="1"/>
  <c r="P12" i="17"/>
  <c r="AG15" i="3" s="1"/>
  <c r="O12" i="17"/>
  <c r="AF15" i="3" s="1"/>
  <c r="N12" i="17"/>
  <c r="AE15" i="3" s="1"/>
  <c r="J12" i="17"/>
  <c r="AA15" i="3" s="1"/>
  <c r="I12" i="17"/>
  <c r="H12" i="17"/>
  <c r="G12" i="17"/>
  <c r="F12" i="17"/>
  <c r="E12" i="17"/>
  <c r="D12" i="17"/>
  <c r="C12" i="17"/>
  <c r="U11" i="17"/>
  <c r="AL14" i="3" s="1"/>
  <c r="T11" i="17"/>
  <c r="AK14" i="3" s="1"/>
  <c r="S11" i="17"/>
  <c r="R11" i="17"/>
  <c r="AI14" i="3" s="1"/>
  <c r="Q11" i="17"/>
  <c r="AH14" i="3" s="1"/>
  <c r="P11" i="17"/>
  <c r="AG14" i="3" s="1"/>
  <c r="O11" i="17"/>
  <c r="N11" i="17"/>
  <c r="AE14" i="3" s="1"/>
  <c r="J11" i="17"/>
  <c r="AA14" i="3" s="1"/>
  <c r="I11" i="17"/>
  <c r="H11" i="17"/>
  <c r="G11" i="17"/>
  <c r="F11" i="17"/>
  <c r="E11" i="17"/>
  <c r="D11" i="17"/>
  <c r="C11" i="17"/>
  <c r="U10" i="17"/>
  <c r="AL13" i="3" s="1"/>
  <c r="T10" i="17"/>
  <c r="S10" i="17"/>
  <c r="AJ13" i="3" s="1"/>
  <c r="R10" i="17"/>
  <c r="AI13" i="3" s="1"/>
  <c r="Q10" i="17"/>
  <c r="AH13" i="3" s="1"/>
  <c r="P10" i="17"/>
  <c r="O10" i="17"/>
  <c r="AF13" i="3" s="1"/>
  <c r="N10" i="17"/>
  <c r="AE13" i="3" s="1"/>
  <c r="J10" i="17"/>
  <c r="AA13" i="3" s="1"/>
  <c r="I10" i="17"/>
  <c r="H10" i="17"/>
  <c r="G10" i="17"/>
  <c r="F10" i="17"/>
  <c r="E10" i="17"/>
  <c r="D10" i="17"/>
  <c r="C10" i="17"/>
  <c r="U9" i="17"/>
  <c r="T9" i="17"/>
  <c r="AK12" i="3" s="1"/>
  <c r="S9" i="17"/>
  <c r="AJ12" i="3" s="1"/>
  <c r="R9" i="17"/>
  <c r="AI12" i="3" s="1"/>
  <c r="Q9" i="17"/>
  <c r="P9" i="17"/>
  <c r="AG12" i="3" s="1"/>
  <c r="O9" i="17"/>
  <c r="AF12" i="3" s="1"/>
  <c r="N9" i="17"/>
  <c r="AE12" i="3" s="1"/>
  <c r="J9" i="17"/>
  <c r="I9" i="17"/>
  <c r="H9" i="17"/>
  <c r="G9" i="17"/>
  <c r="F9" i="17"/>
  <c r="E9" i="17"/>
  <c r="D9" i="17"/>
  <c r="C9" i="17"/>
  <c r="W8" i="17"/>
  <c r="U8" i="17"/>
  <c r="AL11" i="3" s="1"/>
  <c r="T8" i="17"/>
  <c r="AK11" i="3" s="1"/>
  <c r="S8" i="17"/>
  <c r="AJ11" i="3" s="1"/>
  <c r="R8" i="17"/>
  <c r="Q8" i="17"/>
  <c r="AH11" i="3" s="1"/>
  <c r="P8" i="17"/>
  <c r="AG11" i="3" s="1"/>
  <c r="O8" i="17"/>
  <c r="AF11" i="3" s="1"/>
  <c r="N8" i="17"/>
  <c r="J8" i="17"/>
  <c r="AA11" i="3" s="1"/>
  <c r="I8" i="17"/>
  <c r="H8" i="17"/>
  <c r="G8" i="17"/>
  <c r="F8" i="17"/>
  <c r="E8" i="17"/>
  <c r="D8" i="17"/>
  <c r="C8" i="17"/>
  <c r="U7" i="17"/>
  <c r="AL10" i="3" s="1"/>
  <c r="T7" i="17"/>
  <c r="AK10" i="3" s="1"/>
  <c r="S7" i="17"/>
  <c r="AJ10" i="3" s="1"/>
  <c r="R7" i="17"/>
  <c r="AI10" i="3" s="1"/>
  <c r="Q7" i="17"/>
  <c r="AH10" i="3" s="1"/>
  <c r="P7" i="17"/>
  <c r="AG10" i="3" s="1"/>
  <c r="O7" i="17"/>
  <c r="AF10" i="3" s="1"/>
  <c r="N7" i="17"/>
  <c r="AE10" i="3" s="1"/>
  <c r="J7" i="17"/>
  <c r="AA10" i="3" s="1"/>
  <c r="I7" i="17"/>
  <c r="H7" i="17"/>
  <c r="G7" i="17"/>
  <c r="F7" i="17"/>
  <c r="E7" i="17"/>
  <c r="D7" i="17"/>
  <c r="C7" i="17"/>
  <c r="U6" i="17"/>
  <c r="AL9" i="3" s="1"/>
  <c r="T6" i="17"/>
  <c r="S6" i="17"/>
  <c r="AJ9" i="3" s="1"/>
  <c r="R6" i="17"/>
  <c r="AI9" i="3" s="1"/>
  <c r="Q6" i="17"/>
  <c r="AH9" i="3" s="1"/>
  <c r="P6" i="17"/>
  <c r="O6" i="17"/>
  <c r="AF9" i="3" s="1"/>
  <c r="N6" i="17"/>
  <c r="AE9" i="3" s="1"/>
  <c r="J6" i="17"/>
  <c r="AA9" i="3" s="1"/>
  <c r="I6" i="17"/>
  <c r="H6" i="17"/>
  <c r="G6" i="17"/>
  <c r="F6" i="17"/>
  <c r="E6" i="17"/>
  <c r="D6" i="17"/>
  <c r="C6" i="17"/>
  <c r="U5" i="17"/>
  <c r="T5" i="17"/>
  <c r="AK8" i="3" s="1"/>
  <c r="S5" i="17"/>
  <c r="AJ8" i="3" s="1"/>
  <c r="R5" i="17"/>
  <c r="AI8" i="3" s="1"/>
  <c r="Q5" i="17"/>
  <c r="P5" i="17"/>
  <c r="AG8" i="3" s="1"/>
  <c r="O5" i="17"/>
  <c r="AF8" i="3" s="1"/>
  <c r="N5" i="17"/>
  <c r="AE8" i="3" s="1"/>
  <c r="J5" i="17"/>
  <c r="I5" i="17"/>
  <c r="H5" i="17"/>
  <c r="G5" i="17"/>
  <c r="F5" i="17"/>
  <c r="E5" i="17"/>
  <c r="D5" i="17"/>
  <c r="C5" i="17"/>
  <c r="U4" i="17"/>
  <c r="AL7" i="3" s="1"/>
  <c r="T4" i="17"/>
  <c r="AK7" i="3" s="1"/>
  <c r="S4" i="17"/>
  <c r="AJ7" i="3" s="1"/>
  <c r="R4" i="17"/>
  <c r="Q4" i="17"/>
  <c r="AH7" i="3" s="1"/>
  <c r="P4" i="17"/>
  <c r="AG7" i="3" s="1"/>
  <c r="O4" i="17"/>
  <c r="AF7" i="3" s="1"/>
  <c r="N4" i="17"/>
  <c r="J4" i="17"/>
  <c r="AA7" i="3" s="1"/>
  <c r="I4" i="17"/>
  <c r="Z7" i="3" s="1"/>
  <c r="H4" i="17"/>
  <c r="Y7" i="3" s="1"/>
  <c r="G4" i="17"/>
  <c r="F4" i="17"/>
  <c r="W7" i="3" s="1"/>
  <c r="E4" i="17"/>
  <c r="V7" i="3" s="1"/>
  <c r="D4" i="17"/>
  <c r="U7" i="3" s="1"/>
  <c r="C4" i="17"/>
  <c r="P6" i="3" l="1"/>
  <c r="P4" i="3" l="1"/>
  <c r="E27" i="14" l="1"/>
  <c r="F15" i="15"/>
  <c r="H15" i="5"/>
  <c r="E70" i="3"/>
  <c r="L16" i="11"/>
  <c r="H18" i="5"/>
  <c r="H17" i="5"/>
  <c r="E150" i="3"/>
  <c r="E149" i="3"/>
  <c r="E148" i="3"/>
  <c r="E147" i="3"/>
  <c r="E146" i="3"/>
  <c r="E145" i="3"/>
  <c r="E144" i="3"/>
  <c r="E143" i="3"/>
  <c r="E142" i="3"/>
  <c r="E71" i="3"/>
  <c r="E72" i="3"/>
  <c r="E73" i="3"/>
  <c r="E74" i="3"/>
  <c r="E75" i="3"/>
  <c r="E76" i="3"/>
  <c r="E77" i="3"/>
  <c r="E78" i="3"/>
  <c r="G150" i="3"/>
  <c r="G149" i="3"/>
  <c r="G148" i="3"/>
  <c r="G147" i="3"/>
  <c r="G146" i="3"/>
  <c r="G145" i="3"/>
  <c r="G144" i="3"/>
  <c r="G143" i="3"/>
  <c r="G142" i="3"/>
  <c r="G78" i="3"/>
  <c r="F78" i="3"/>
  <c r="G77" i="3"/>
  <c r="F77" i="3"/>
  <c r="G76" i="3"/>
  <c r="F76" i="3"/>
  <c r="G75" i="3"/>
  <c r="F75" i="3"/>
  <c r="G74" i="3"/>
  <c r="F74" i="3"/>
  <c r="G73" i="3"/>
  <c r="F73" i="3"/>
  <c r="G72" i="3"/>
  <c r="F72" i="3"/>
  <c r="G71" i="3"/>
  <c r="F71" i="3"/>
  <c r="G70" i="3"/>
  <c r="F70" i="3"/>
  <c r="G32" i="14" l="1"/>
  <c r="G33" i="14"/>
  <c r="G34" i="14"/>
  <c r="G35" i="14"/>
  <c r="G36" i="14"/>
  <c r="G37" i="14"/>
  <c r="E28" i="14"/>
  <c r="E29" i="14"/>
  <c r="E30" i="14"/>
  <c r="E31" i="14"/>
  <c r="E32" i="14"/>
  <c r="F32" i="14"/>
  <c r="H32" i="14"/>
  <c r="E33" i="14"/>
  <c r="F33" i="14"/>
  <c r="H33" i="14"/>
  <c r="E34" i="14"/>
  <c r="F34" i="14"/>
  <c r="H34" i="14"/>
  <c r="E35" i="14"/>
  <c r="F35" i="14"/>
  <c r="H35" i="14"/>
  <c r="E36" i="14"/>
  <c r="F36" i="14"/>
  <c r="H36" i="14"/>
  <c r="E37" i="14"/>
  <c r="F37" i="14"/>
  <c r="H37" i="14"/>
  <c r="J30" i="14"/>
  <c r="J32" i="14"/>
  <c r="J33" i="14"/>
  <c r="J34" i="14"/>
  <c r="J35" i="14"/>
  <c r="J36" i="14"/>
  <c r="J37" i="14"/>
  <c r="K28" i="14"/>
  <c r="K29" i="14"/>
  <c r="K31" i="14"/>
  <c r="K32" i="14"/>
  <c r="K33" i="14"/>
  <c r="K34" i="14"/>
  <c r="K35" i="14"/>
  <c r="K36" i="14"/>
  <c r="K37" i="14"/>
  <c r="L33" i="14" l="1"/>
  <c r="L36" i="14"/>
  <c r="L32" i="14"/>
  <c r="L37" i="14"/>
  <c r="L35" i="14"/>
  <c r="L34" i="14"/>
  <c r="B15" i="15" l="1"/>
  <c r="B24" i="14" s="1"/>
  <c r="B23" i="14"/>
  <c r="M15" i="15" l="1"/>
  <c r="I15" i="15"/>
  <c r="G134" i="3"/>
  <c r="G135" i="3"/>
  <c r="G136" i="3"/>
  <c r="G137" i="3"/>
  <c r="G138" i="3"/>
  <c r="G139" i="3"/>
  <c r="G140" i="3"/>
  <c r="G141" i="3"/>
  <c r="F134" i="3"/>
  <c r="F135" i="3"/>
  <c r="F136" i="3"/>
  <c r="F137" i="3"/>
  <c r="F138" i="3"/>
  <c r="F139" i="3"/>
  <c r="F140" i="3"/>
  <c r="F141" i="3"/>
  <c r="G133" i="3"/>
  <c r="F133" i="3"/>
  <c r="G62" i="3"/>
  <c r="G63" i="3"/>
  <c r="G64" i="3"/>
  <c r="G65" i="3"/>
  <c r="G66" i="3"/>
  <c r="G67" i="3"/>
  <c r="G68" i="3"/>
  <c r="G69" i="3"/>
  <c r="G61" i="3"/>
  <c r="F62" i="3"/>
  <c r="F63" i="3"/>
  <c r="F64" i="3"/>
  <c r="F65" i="3"/>
  <c r="F66" i="3"/>
  <c r="F67" i="3"/>
  <c r="F68" i="3"/>
  <c r="F69" i="3"/>
  <c r="F61" i="3"/>
  <c r="E141" i="3"/>
  <c r="E140" i="3"/>
  <c r="E139" i="3"/>
  <c r="E138" i="3"/>
  <c r="E137" i="3"/>
  <c r="E136" i="3"/>
  <c r="E135" i="3"/>
  <c r="E134" i="3"/>
  <c r="E133" i="3"/>
  <c r="E69" i="3"/>
  <c r="E68" i="3"/>
  <c r="E67" i="3"/>
  <c r="E66" i="3"/>
  <c r="E65" i="3"/>
  <c r="E64" i="3"/>
  <c r="E63" i="3"/>
  <c r="E62" i="3"/>
  <c r="E61" i="3"/>
  <c r="K30" i="14" l="1"/>
  <c r="G132" i="3"/>
  <c r="G131" i="3"/>
  <c r="G130" i="3"/>
  <c r="G129" i="3"/>
  <c r="G128" i="3"/>
  <c r="G127" i="3"/>
  <c r="G126" i="3"/>
  <c r="G125" i="3"/>
  <c r="G124" i="3"/>
  <c r="F132" i="3"/>
  <c r="F131" i="3"/>
  <c r="F130" i="3"/>
  <c r="F129" i="3"/>
  <c r="F128" i="3"/>
  <c r="F127" i="3"/>
  <c r="F126" i="3"/>
  <c r="F125" i="3"/>
  <c r="F124" i="3"/>
  <c r="G60" i="3"/>
  <c r="G59" i="3"/>
  <c r="G58" i="3"/>
  <c r="G57" i="3"/>
  <c r="G56" i="3"/>
  <c r="G55" i="3"/>
  <c r="G54" i="3"/>
  <c r="G53" i="3"/>
  <c r="G52" i="3"/>
  <c r="F53" i="3"/>
  <c r="F54" i="3"/>
  <c r="F55" i="3"/>
  <c r="F56" i="3"/>
  <c r="F57" i="3"/>
  <c r="F58" i="3"/>
  <c r="F59" i="3"/>
  <c r="F60" i="3"/>
  <c r="F52" i="3"/>
  <c r="F30" i="14" l="1"/>
  <c r="L30" i="14"/>
  <c r="J31" i="14"/>
  <c r="J28" i="14"/>
  <c r="J29" i="14"/>
  <c r="G30" i="14"/>
  <c r="H30" i="14"/>
  <c r="E60" i="3"/>
  <c r="E59" i="3"/>
  <c r="E58" i="3"/>
  <c r="E57" i="3"/>
  <c r="E56" i="3"/>
  <c r="E55" i="3"/>
  <c r="E54" i="3"/>
  <c r="E53" i="3"/>
  <c r="E52" i="3"/>
  <c r="E132" i="3"/>
  <c r="E131" i="3"/>
  <c r="E130" i="3"/>
  <c r="E129" i="3"/>
  <c r="E128" i="3"/>
  <c r="E127" i="3"/>
  <c r="E126" i="3"/>
  <c r="E125" i="3"/>
  <c r="E124" i="3"/>
  <c r="F28" i="14" l="1"/>
  <c r="L28" i="14"/>
  <c r="F31" i="14"/>
  <c r="L31" i="14"/>
  <c r="F29" i="14"/>
  <c r="L29" i="14"/>
  <c r="G29" i="14"/>
  <c r="H29" i="14"/>
  <c r="G28" i="14"/>
  <c r="H28" i="14"/>
  <c r="G31" i="14"/>
  <c r="H31" i="14"/>
  <c r="F123" i="3"/>
  <c r="F119" i="3"/>
  <c r="F115" i="3"/>
  <c r="F116" i="3"/>
  <c r="G116" i="3"/>
  <c r="F117" i="3"/>
  <c r="G117" i="3"/>
  <c r="F118" i="3"/>
  <c r="G118" i="3"/>
  <c r="G119" i="3"/>
  <c r="F120" i="3"/>
  <c r="G120" i="3"/>
  <c r="F121" i="3"/>
  <c r="G121" i="3"/>
  <c r="F122" i="3"/>
  <c r="G122" i="3"/>
  <c r="G123" i="3"/>
  <c r="G115" i="3"/>
  <c r="E123" i="3"/>
  <c r="E122" i="3"/>
  <c r="E121" i="3"/>
  <c r="E120" i="3"/>
  <c r="E119" i="3"/>
  <c r="E118" i="3"/>
  <c r="E117" i="3"/>
  <c r="E116" i="3"/>
  <c r="E115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G43" i="3"/>
  <c r="F43" i="3"/>
  <c r="E43" i="3"/>
  <c r="E44" i="3"/>
  <c r="E45" i="3"/>
  <c r="E46" i="3"/>
  <c r="E47" i="3"/>
  <c r="E48" i="3"/>
  <c r="E49" i="3"/>
  <c r="E50" i="3"/>
  <c r="E51" i="3"/>
  <c r="L26" i="9" l="1"/>
  <c r="L27" i="9"/>
  <c r="L28" i="9"/>
  <c r="L29" i="9"/>
  <c r="L30" i="9"/>
  <c r="L31" i="9"/>
  <c r="L32" i="9"/>
  <c r="L33" i="9"/>
  <c r="L34" i="9"/>
  <c r="L35" i="9"/>
  <c r="E21" i="9"/>
  <c r="B21" i="9" l="1"/>
  <c r="B16" i="11" l="1"/>
  <c r="E3" i="11"/>
  <c r="E4" i="11"/>
  <c r="E5" i="11"/>
  <c r="E6" i="11"/>
  <c r="E7" i="11"/>
  <c r="E8" i="11"/>
  <c r="E9" i="11"/>
  <c r="L26" i="10"/>
  <c r="L27" i="10"/>
  <c r="L28" i="10"/>
  <c r="L29" i="10"/>
  <c r="L30" i="10"/>
  <c r="L31" i="10"/>
  <c r="L32" i="10"/>
  <c r="L33" i="10"/>
  <c r="L34" i="10"/>
  <c r="L35" i="10"/>
  <c r="I16" i="11"/>
  <c r="B15" i="5"/>
  <c r="B25" i="14" l="1"/>
  <c r="E16" i="11"/>
  <c r="E22" i="9"/>
  <c r="B22" i="9"/>
  <c r="S15" i="11"/>
  <c r="B23" i="9"/>
  <c r="E23" i="9" l="1"/>
  <c r="W15" i="11"/>
  <c r="M26" i="10"/>
  <c r="H27" i="10"/>
  <c r="I27" i="10"/>
  <c r="J27" i="10"/>
  <c r="K27" i="10"/>
  <c r="M27" i="10"/>
  <c r="N27" i="10"/>
  <c r="O27" i="10"/>
  <c r="P27" i="10"/>
  <c r="H28" i="10"/>
  <c r="I28" i="10"/>
  <c r="J28" i="10"/>
  <c r="K28" i="10"/>
  <c r="M28" i="10"/>
  <c r="N28" i="10"/>
  <c r="O28" i="10"/>
  <c r="P28" i="10"/>
  <c r="H29" i="10"/>
  <c r="I29" i="10"/>
  <c r="J29" i="10"/>
  <c r="K29" i="10"/>
  <c r="M29" i="10"/>
  <c r="N29" i="10"/>
  <c r="O29" i="10"/>
  <c r="P29" i="10"/>
  <c r="H30" i="10"/>
  <c r="I30" i="10"/>
  <c r="J30" i="10"/>
  <c r="K30" i="10"/>
  <c r="M30" i="10"/>
  <c r="N30" i="10"/>
  <c r="O30" i="10"/>
  <c r="P30" i="10"/>
  <c r="H31" i="10"/>
  <c r="I31" i="10"/>
  <c r="J31" i="10"/>
  <c r="K31" i="10"/>
  <c r="M31" i="10"/>
  <c r="N31" i="10"/>
  <c r="O31" i="10"/>
  <c r="P31" i="10"/>
  <c r="H32" i="10"/>
  <c r="I32" i="10"/>
  <c r="J32" i="10"/>
  <c r="K32" i="10"/>
  <c r="M32" i="10"/>
  <c r="N32" i="10"/>
  <c r="O32" i="10"/>
  <c r="P32" i="10"/>
  <c r="H33" i="10"/>
  <c r="I33" i="10"/>
  <c r="J33" i="10"/>
  <c r="K33" i="10"/>
  <c r="M33" i="10"/>
  <c r="N33" i="10"/>
  <c r="O33" i="10"/>
  <c r="P33" i="10"/>
  <c r="H34" i="10"/>
  <c r="I34" i="10"/>
  <c r="J34" i="10"/>
  <c r="K34" i="10"/>
  <c r="M34" i="10"/>
  <c r="N34" i="10"/>
  <c r="O34" i="10"/>
  <c r="P34" i="10"/>
  <c r="H35" i="10"/>
  <c r="I35" i="10"/>
  <c r="J35" i="10"/>
  <c r="K35" i="10"/>
  <c r="M35" i="10"/>
  <c r="N35" i="10"/>
  <c r="O35" i="10"/>
  <c r="P35" i="10"/>
  <c r="E21" i="10"/>
  <c r="E15" i="5"/>
  <c r="E22" i="10" s="1"/>
  <c r="E23" i="10"/>
  <c r="M25" i="10"/>
  <c r="B22" i="10" l="1"/>
  <c r="B23" i="10"/>
  <c r="O12" i="5"/>
  <c r="S12" i="5"/>
  <c r="B21" i="10"/>
  <c r="F107" i="3"/>
  <c r="G107" i="3"/>
  <c r="F108" i="3"/>
  <c r="G108" i="3"/>
  <c r="F109" i="3"/>
  <c r="G109" i="3"/>
  <c r="F110" i="3"/>
  <c r="G110" i="3"/>
  <c r="F111" i="3"/>
  <c r="G111" i="3"/>
  <c r="F112" i="3"/>
  <c r="G112" i="3"/>
  <c r="F113" i="3"/>
  <c r="G113" i="3"/>
  <c r="F114" i="3"/>
  <c r="G114" i="3"/>
  <c r="G106" i="3"/>
  <c r="F106" i="3"/>
  <c r="E114" i="3"/>
  <c r="E113" i="3"/>
  <c r="E112" i="3"/>
  <c r="E111" i="3"/>
  <c r="E110" i="3"/>
  <c r="E109" i="3"/>
  <c r="E108" i="3"/>
  <c r="E107" i="3"/>
  <c r="E106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G34" i="3"/>
  <c r="F34" i="3"/>
  <c r="E42" i="3"/>
  <c r="E41" i="3"/>
  <c r="E40" i="3"/>
  <c r="E39" i="3"/>
  <c r="E38" i="3"/>
  <c r="E37" i="3"/>
  <c r="E36" i="3"/>
  <c r="E35" i="3"/>
  <c r="E34" i="3"/>
  <c r="J26" i="10" l="1"/>
  <c r="H26" i="10"/>
  <c r="I26" i="10" s="1"/>
  <c r="M26" i="9"/>
  <c r="H27" i="9"/>
  <c r="I27" i="9"/>
  <c r="J27" i="9"/>
  <c r="K27" i="9"/>
  <c r="M27" i="9"/>
  <c r="N27" i="9"/>
  <c r="O27" i="9"/>
  <c r="P27" i="9"/>
  <c r="H28" i="9"/>
  <c r="I28" i="9"/>
  <c r="J28" i="9"/>
  <c r="K28" i="9"/>
  <c r="M28" i="9"/>
  <c r="N28" i="9"/>
  <c r="O28" i="9"/>
  <c r="P28" i="9"/>
  <c r="H29" i="9"/>
  <c r="I29" i="9"/>
  <c r="J29" i="9"/>
  <c r="K29" i="9"/>
  <c r="M29" i="9"/>
  <c r="N29" i="9"/>
  <c r="O29" i="9"/>
  <c r="P29" i="9"/>
  <c r="H30" i="9"/>
  <c r="I30" i="9"/>
  <c r="J30" i="9"/>
  <c r="K30" i="9"/>
  <c r="M30" i="9"/>
  <c r="N30" i="9"/>
  <c r="O30" i="9"/>
  <c r="P30" i="9"/>
  <c r="H31" i="9"/>
  <c r="I31" i="9"/>
  <c r="J31" i="9"/>
  <c r="K31" i="9"/>
  <c r="M31" i="9"/>
  <c r="N31" i="9"/>
  <c r="O31" i="9"/>
  <c r="P31" i="9"/>
  <c r="H32" i="9"/>
  <c r="I32" i="9"/>
  <c r="J32" i="9"/>
  <c r="K32" i="9"/>
  <c r="M32" i="9"/>
  <c r="N32" i="9"/>
  <c r="O32" i="9"/>
  <c r="P32" i="9"/>
  <c r="H33" i="9"/>
  <c r="I33" i="9"/>
  <c r="J33" i="9"/>
  <c r="K33" i="9"/>
  <c r="M33" i="9"/>
  <c r="N33" i="9"/>
  <c r="O33" i="9"/>
  <c r="P33" i="9"/>
  <c r="H34" i="9"/>
  <c r="I34" i="9"/>
  <c r="J34" i="9"/>
  <c r="K34" i="9"/>
  <c r="M34" i="9"/>
  <c r="N34" i="9"/>
  <c r="O34" i="9"/>
  <c r="P34" i="9"/>
  <c r="H35" i="9"/>
  <c r="I35" i="9"/>
  <c r="J35" i="9"/>
  <c r="K35" i="9"/>
  <c r="M35" i="9"/>
  <c r="N35" i="9"/>
  <c r="O35" i="9"/>
  <c r="P35" i="9"/>
  <c r="K26" i="10" l="1"/>
  <c r="N26" i="10" s="1"/>
  <c r="O26" i="10" s="1"/>
  <c r="P26" i="10" s="1"/>
  <c r="M25" i="9"/>
  <c r="G98" i="3"/>
  <c r="G99" i="3"/>
  <c r="G100" i="3"/>
  <c r="G101" i="3"/>
  <c r="G102" i="3"/>
  <c r="G103" i="3"/>
  <c r="G104" i="3"/>
  <c r="G105" i="3"/>
  <c r="G97" i="3"/>
  <c r="G89" i="3"/>
  <c r="G90" i="3"/>
  <c r="G91" i="3"/>
  <c r="G92" i="3"/>
  <c r="G93" i="3"/>
  <c r="G94" i="3"/>
  <c r="G95" i="3"/>
  <c r="G96" i="3"/>
  <c r="G88" i="3"/>
  <c r="G80" i="3"/>
  <c r="G81" i="3"/>
  <c r="G82" i="3"/>
  <c r="G83" i="3"/>
  <c r="G84" i="3"/>
  <c r="G85" i="3"/>
  <c r="G86" i="3"/>
  <c r="G87" i="3"/>
  <c r="G79" i="3"/>
  <c r="G26" i="3"/>
  <c r="G27" i="3"/>
  <c r="G28" i="3"/>
  <c r="G29" i="3"/>
  <c r="G30" i="3"/>
  <c r="G31" i="3"/>
  <c r="G32" i="3"/>
  <c r="G33" i="3"/>
  <c r="G16" i="3"/>
  <c r="G25" i="3"/>
  <c r="G17" i="3"/>
  <c r="G18" i="3"/>
  <c r="G19" i="3"/>
  <c r="G20" i="3"/>
  <c r="G21" i="3"/>
  <c r="G22" i="3"/>
  <c r="G23" i="3"/>
  <c r="G24" i="3"/>
  <c r="G8" i="3"/>
  <c r="G9" i="3"/>
  <c r="G10" i="3"/>
  <c r="G11" i="3"/>
  <c r="G12" i="3"/>
  <c r="G13" i="3"/>
  <c r="G14" i="3"/>
  <c r="G15" i="3"/>
  <c r="F7" i="3"/>
  <c r="G7" i="3"/>
  <c r="F98" i="3"/>
  <c r="F99" i="3"/>
  <c r="F100" i="3"/>
  <c r="F101" i="3"/>
  <c r="F102" i="3"/>
  <c r="F103" i="3"/>
  <c r="F104" i="3"/>
  <c r="F105" i="3"/>
  <c r="F97" i="3"/>
  <c r="F89" i="3"/>
  <c r="F90" i="3"/>
  <c r="F91" i="3"/>
  <c r="F92" i="3"/>
  <c r="F93" i="3"/>
  <c r="F94" i="3"/>
  <c r="F95" i="3"/>
  <c r="F96" i="3"/>
  <c r="F88" i="3"/>
  <c r="F80" i="3"/>
  <c r="F81" i="3"/>
  <c r="F82" i="3"/>
  <c r="F83" i="3"/>
  <c r="F84" i="3"/>
  <c r="F85" i="3"/>
  <c r="F86" i="3"/>
  <c r="F87" i="3"/>
  <c r="F79" i="3"/>
  <c r="F26" i="3"/>
  <c r="F27" i="3"/>
  <c r="F28" i="3"/>
  <c r="F29" i="3"/>
  <c r="F30" i="3"/>
  <c r="F31" i="3"/>
  <c r="F32" i="3"/>
  <c r="F33" i="3"/>
  <c r="F25" i="3"/>
  <c r="F17" i="3"/>
  <c r="F18" i="3"/>
  <c r="F19" i="3"/>
  <c r="F20" i="3"/>
  <c r="F21" i="3"/>
  <c r="F22" i="3"/>
  <c r="F23" i="3"/>
  <c r="F24" i="3"/>
  <c r="F16" i="3"/>
  <c r="F8" i="3"/>
  <c r="F9" i="3"/>
  <c r="F10" i="3"/>
  <c r="F11" i="3"/>
  <c r="F12" i="3"/>
  <c r="F13" i="3"/>
  <c r="F14" i="3"/>
  <c r="F15" i="3"/>
  <c r="E8" i="3" l="1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7" i="3"/>
  <c r="T15" i="11" l="1"/>
  <c r="J15" i="15"/>
  <c r="K15" i="15"/>
  <c r="N15" i="15"/>
  <c r="O15" i="15"/>
  <c r="U12" i="5"/>
  <c r="J25" i="10" s="1"/>
  <c r="T12" i="5"/>
  <c r="P12" i="5"/>
  <c r="Q12" i="5"/>
  <c r="H25" i="10" s="1"/>
  <c r="U15" i="11"/>
  <c r="Y15" i="11"/>
  <c r="X15" i="11"/>
  <c r="J26" i="9"/>
  <c r="K26" i="9" s="1"/>
  <c r="N26" i="9" s="1"/>
  <c r="O26" i="9" s="1"/>
  <c r="P26" i="9" s="1"/>
  <c r="K27" i="14" l="1"/>
  <c r="J27" i="14"/>
  <c r="K25" i="10"/>
  <c r="I25" i="10"/>
  <c r="H25" i="9"/>
  <c r="I25" i="9" s="1"/>
  <c r="H26" i="9"/>
  <c r="I26" i="9" s="1"/>
  <c r="J25" i="9"/>
  <c r="K25" i="9" s="1"/>
  <c r="L27" i="14" l="1"/>
  <c r="F27" i="14" s="1"/>
  <c r="G27" i="14" s="1"/>
  <c r="L25" i="10"/>
  <c r="N25" i="10" s="1"/>
  <c r="O25" i="10" s="1"/>
  <c r="P25" i="10" s="1"/>
  <c r="L25" i="9"/>
  <c r="N25" i="9" s="1"/>
  <c r="O25" i="9" s="1"/>
  <c r="P25" i="9" s="1"/>
  <c r="H27" i="14" l="1"/>
  <c r="J23" i="17" l="1"/>
  <c r="AA26" i="3" s="1"/>
  <c r="F148" i="3" s="1"/>
  <c r="J22" i="17"/>
  <c r="AA25" i="3" s="1"/>
  <c r="F147" i="3" s="1"/>
  <c r="J21" i="17"/>
  <c r="AA24" i="3" s="1"/>
  <c r="F146" i="3" s="1"/>
  <c r="J20" i="17"/>
  <c r="AA23" i="3" s="1"/>
  <c r="F145" i="3" s="1"/>
  <c r="J24" i="17"/>
  <c r="AA27" i="3" s="1"/>
  <c r="F149" i="3" s="1"/>
  <c r="J19" i="17" l="1"/>
  <c r="AA22" i="3" s="1"/>
  <c r="F144" i="3" s="1"/>
  <c r="J18" i="17"/>
  <c r="AA21" i="3" s="1"/>
  <c r="F143" i="3" s="1"/>
  <c r="J25" i="17"/>
  <c r="AA28" i="3" s="1"/>
  <c r="F150" i="3" s="1"/>
  <c r="J17" i="17"/>
  <c r="AA20" i="3" s="1"/>
  <c r="F142" i="3" s="1"/>
</calcChain>
</file>

<file path=xl/sharedStrings.xml><?xml version="1.0" encoding="utf-8"?>
<sst xmlns="http://schemas.openxmlformats.org/spreadsheetml/2006/main" count="820" uniqueCount="92">
  <si>
    <t>z statistic</t>
  </si>
  <si>
    <t>p value*</t>
  </si>
  <si>
    <t>WEFF</t>
  </si>
  <si>
    <t>NSW</t>
  </si>
  <si>
    <t>Vic</t>
  </si>
  <si>
    <t>Qld</t>
  </si>
  <si>
    <t>SA</t>
  </si>
  <si>
    <t>WA</t>
  </si>
  <si>
    <t>Tas</t>
  </si>
  <si>
    <t>NT</t>
  </si>
  <si>
    <t>ACT</t>
  </si>
  <si>
    <t>Child</t>
  </si>
  <si>
    <t>Adult</t>
  </si>
  <si>
    <t>State/Territory</t>
  </si>
  <si>
    <t>Calendar year 2016</t>
  </si>
  <si>
    <t>Financial year 2016/17</t>
  </si>
  <si>
    <t>Total</t>
  </si>
  <si>
    <t>Q4 2015-Q3, 2016</t>
  </si>
  <si>
    <t>Adult/child chosen</t>
  </si>
  <si>
    <t>Financial year 2017/18</t>
  </si>
  <si>
    <t>Calendar year 2017</t>
  </si>
  <si>
    <t>Adult/Child</t>
  </si>
  <si>
    <t>Time period</t>
  </si>
  <si>
    <t>Label</t>
  </si>
  <si>
    <t>n/N</t>
  </si>
  <si>
    <t>State number</t>
  </si>
  <si>
    <t>State</t>
  </si>
  <si>
    <t>Q4, 2015 - Q3, 2015</t>
  </si>
  <si>
    <t>Calendar 2016</t>
  </si>
  <si>
    <t>Financial 16/17</t>
  </si>
  <si>
    <t>Grand Total</t>
  </si>
  <si>
    <t>Valid_child</t>
  </si>
  <si>
    <t>WEFF_1</t>
  </si>
  <si>
    <t>frac_1</t>
  </si>
  <si>
    <t>WEFF_2</t>
  </si>
  <si>
    <t>frac_2</t>
  </si>
  <si>
    <t>Source of the WEFF and f values</t>
  </si>
  <si>
    <t>Difference in proportions</t>
  </si>
  <si>
    <r>
      <t>Sample size 1</t>
    </r>
    <r>
      <rPr>
        <b/>
        <vertAlign val="superscript"/>
        <sz val="8"/>
        <color theme="1"/>
        <rFont val="Arial"/>
        <family val="2"/>
      </rPr>
      <t>st</t>
    </r>
    <r>
      <rPr>
        <b/>
        <sz val="8"/>
        <color theme="1"/>
        <rFont val="Arial"/>
        <family val="2"/>
      </rPr>
      <t xml:space="preserve"> period</t>
    </r>
  </si>
  <si>
    <r>
      <t>Sample size 2</t>
    </r>
    <r>
      <rPr>
        <b/>
        <vertAlign val="superscript"/>
        <sz val="8"/>
        <color theme="1"/>
        <rFont val="Arial"/>
        <family val="2"/>
      </rPr>
      <t>nd</t>
    </r>
    <r>
      <rPr>
        <b/>
        <sz val="8"/>
        <color theme="1"/>
        <rFont val="Arial"/>
        <family val="2"/>
      </rPr>
      <t xml:space="preserve"> period</t>
    </r>
  </si>
  <si>
    <r>
      <t>SE 1</t>
    </r>
    <r>
      <rPr>
        <b/>
        <vertAlign val="superscript"/>
        <sz val="8"/>
        <color theme="1"/>
        <rFont val="Arial"/>
        <family val="2"/>
      </rPr>
      <t>st</t>
    </r>
    <r>
      <rPr>
        <b/>
        <sz val="8"/>
        <color theme="1"/>
        <rFont val="Arial"/>
        <family val="2"/>
      </rPr>
      <t xml:space="preserve"> period</t>
    </r>
  </si>
  <si>
    <r>
      <t>SE 2</t>
    </r>
    <r>
      <rPr>
        <b/>
        <vertAlign val="superscript"/>
        <sz val="8"/>
        <color theme="1"/>
        <rFont val="Arial"/>
        <family val="2"/>
      </rPr>
      <t xml:space="preserve">nd </t>
    </r>
    <r>
      <rPr>
        <b/>
        <sz val="8"/>
        <color theme="1"/>
        <rFont val="Arial"/>
        <family val="2"/>
      </rPr>
      <t>period</t>
    </r>
  </si>
  <si>
    <t>SE (difference)</t>
  </si>
  <si>
    <t>Proportion 1</t>
  </si>
  <si>
    <t>Proportion 2</t>
  </si>
  <si>
    <t>Total 1</t>
  </si>
  <si>
    <t>Total 2</t>
  </si>
  <si>
    <t>Time period chosen</t>
  </si>
  <si>
    <t>Jurisdiction 1</t>
  </si>
  <si>
    <t>Jurisdiction 2</t>
  </si>
  <si>
    <t>Statistical significance at 5%?</t>
  </si>
  <si>
    <t>Calendar 2017</t>
  </si>
  <si>
    <t>Across jurisdiction test</t>
  </si>
  <si>
    <t>Across time test</t>
  </si>
  <si>
    <t>Jurisdiction</t>
  </si>
  <si>
    <t>First period</t>
  </si>
  <si>
    <t>Second period</t>
  </si>
  <si>
    <t>2016 vs 2017</t>
  </si>
  <si>
    <t>WEFF_3</t>
  </si>
  <si>
    <t>frac_3</t>
  </si>
  <si>
    <t>WEFF_4</t>
  </si>
  <si>
    <t>frac_4</t>
  </si>
  <si>
    <t>Financial 17/18</t>
  </si>
  <si>
    <t>2016/17 vs 2017/18</t>
  </si>
  <si>
    <t>Calendar year 2018</t>
  </si>
  <si>
    <t>2017 vs 2018</t>
  </si>
  <si>
    <t>Calendar 2018</t>
  </si>
  <si>
    <t>2017/18 vs 2018/19</t>
  </si>
  <si>
    <t>Financial year 2018/19</t>
  </si>
  <si>
    <t>Financial 18/19</t>
  </si>
  <si>
    <t>V10 updated to provide Max and Min values (95% confiddence interval endpoints) for adult+child estimates</t>
  </si>
  <si>
    <t>Max Min sheet</t>
  </si>
  <si>
    <t>Estimate of total</t>
  </si>
  <si>
    <t>WEFF_5</t>
  </si>
  <si>
    <t>frac_5</t>
  </si>
  <si>
    <t>WEFF_6</t>
  </si>
  <si>
    <t>frac_6</t>
  </si>
  <si>
    <t>MOE Adult</t>
  </si>
  <si>
    <t>MOE Adult +Child</t>
  </si>
  <si>
    <t>MOE Child</t>
  </si>
  <si>
    <t>Adult+Child</t>
  </si>
  <si>
    <t>MOE</t>
  </si>
  <si>
    <t>MIN</t>
  </si>
  <si>
    <t>MAX</t>
  </si>
  <si>
    <t>Calendar year 2019</t>
  </si>
  <si>
    <t>2018 vs 2019</t>
  </si>
  <si>
    <t>Calendar 2019</t>
  </si>
  <si>
    <t>G:\Australian Sports Commission\3000149 (Ausplay)\Weighting\Standard errors, sig tests\[WEFF values, ave wts Q4 2015 - Q4, 2019.xlsx]Summary for Sigtest sheet</t>
  </si>
  <si>
    <t>These WEFF values have been updated for the new rim-weighting which started in Q3, 2019</t>
  </si>
  <si>
    <t>PH</t>
  </si>
  <si>
    <t>and now upodated for the part-of-state errors in the Q4, 2019 April weights and the 3 wrongly coded postcodes in the Q3, 2019 April weights</t>
  </si>
  <si>
    <t>June 10,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</si>
</sst>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0.0000%"/>
    <numFmt numFmtId="166" formatCode="0.00000"/>
    <numFmt numFmtId="167" formatCode="0.000000"/>
    <numFmt numFmtId="168" formatCode="0.000%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b/>
      <vertAlign val="superscript"/>
      <sz val="8"/>
      <color theme="1"/>
      <name val="Arial"/>
      <family val="2"/>
    </font>
    <font>
      <sz val="10"/>
      <color theme="0" tint="-0.34998626667073579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</cellStyleXfs>
  <cellXfs count="137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9" fontId="0" fillId="0" borderId="0" xfId="0" applyNumberFormat="1"/>
    <xf numFmtId="0" fontId="4" fillId="0" borderId="0" xfId="2" applyProtection="1"/>
    <xf numFmtId="0" fontId="4" fillId="0" borderId="0" xfId="2" applyAlignment="1" applyProtection="1">
      <alignment horizontal="center"/>
    </xf>
    <xf numFmtId="0" fontId="5" fillId="0" borderId="0" xfId="2" applyFont="1" applyFill="1" applyAlignment="1" applyProtection="1"/>
    <xf numFmtId="0" fontId="3" fillId="0" borderId="0" xfId="0" applyFont="1"/>
    <xf numFmtId="0" fontId="6" fillId="0" borderId="2" xfId="0" applyFont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/>
    <xf numFmtId="165" fontId="0" fillId="0" borderId="2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3" fontId="3" fillId="0" borderId="2" xfId="0" applyNumberFormat="1" applyFont="1" applyFill="1" applyBorder="1" applyAlignment="1">
      <alignment horizontal="center"/>
    </xf>
    <xf numFmtId="10" fontId="3" fillId="0" borderId="2" xfId="1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9" xfId="0" applyFill="1" applyBorder="1" applyAlignment="1">
      <alignment horizontal="left"/>
    </xf>
    <xf numFmtId="0" fontId="9" fillId="0" borderId="0" xfId="0" applyFont="1"/>
    <xf numFmtId="0" fontId="0" fillId="0" borderId="2" xfId="0" applyBorder="1" applyAlignment="1">
      <alignment wrapText="1"/>
    </xf>
    <xf numFmtId="0" fontId="0" fillId="0" borderId="0" xfId="0" applyBorder="1"/>
    <xf numFmtId="0" fontId="0" fillId="0" borderId="10" xfId="0" applyBorder="1" applyAlignment="1">
      <alignment wrapText="1"/>
    </xf>
    <xf numFmtId="0" fontId="10" fillId="1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2" borderId="3" xfId="0" applyFill="1" applyBorder="1" applyAlignment="1">
      <alignment horizontal="left"/>
    </xf>
    <xf numFmtId="165" fontId="0" fillId="2" borderId="4" xfId="1" applyNumberFormat="1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165" fontId="0" fillId="2" borderId="6" xfId="1" applyNumberFormat="1" applyFon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165" fontId="0" fillId="3" borderId="4" xfId="1" applyNumberFormat="1" applyFont="1" applyFill="1" applyBorder="1" applyAlignment="1">
      <alignment horizontal="left"/>
    </xf>
    <xf numFmtId="0" fontId="0" fillId="3" borderId="5" xfId="0" applyFill="1" applyBorder="1" applyAlignment="1">
      <alignment horizontal="left"/>
    </xf>
    <xf numFmtId="165" fontId="0" fillId="3" borderId="6" xfId="1" applyNumberFormat="1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165" fontId="0" fillId="3" borderId="8" xfId="1" applyNumberFormat="1" applyFon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165" fontId="0" fillId="5" borderId="6" xfId="1" applyNumberFormat="1" applyFont="1" applyFill="1" applyBorder="1" applyAlignment="1">
      <alignment horizontal="left"/>
    </xf>
    <xf numFmtId="0" fontId="0" fillId="5" borderId="7" xfId="0" applyFill="1" applyBorder="1" applyAlignment="1">
      <alignment horizontal="left"/>
    </xf>
    <xf numFmtId="165" fontId="0" fillId="5" borderId="8" xfId="1" applyNumberFormat="1" applyFont="1" applyFill="1" applyBorder="1" applyAlignment="1">
      <alignment horizontal="left"/>
    </xf>
    <xf numFmtId="0" fontId="0" fillId="8" borderId="3" xfId="0" applyFill="1" applyBorder="1" applyAlignment="1">
      <alignment horizontal="left"/>
    </xf>
    <xf numFmtId="165" fontId="0" fillId="8" borderId="4" xfId="0" applyNumberFormat="1" applyFill="1" applyBorder="1" applyAlignment="1">
      <alignment horizontal="left"/>
    </xf>
    <xf numFmtId="0" fontId="0" fillId="8" borderId="5" xfId="0" applyFill="1" applyBorder="1" applyAlignment="1">
      <alignment horizontal="left"/>
    </xf>
    <xf numFmtId="165" fontId="0" fillId="8" borderId="6" xfId="0" applyNumberFormat="1" applyFill="1" applyBorder="1" applyAlignment="1">
      <alignment horizontal="left"/>
    </xf>
    <xf numFmtId="0" fontId="0" fillId="8" borderId="7" xfId="0" applyFill="1" applyBorder="1" applyAlignment="1">
      <alignment horizontal="left"/>
    </xf>
    <xf numFmtId="165" fontId="0" fillId="8" borderId="8" xfId="0" applyNumberFormat="1" applyFill="1" applyBorder="1" applyAlignment="1">
      <alignment horizontal="left"/>
    </xf>
    <xf numFmtId="167" fontId="0" fillId="7" borderId="5" xfId="0" applyNumberFormat="1" applyFill="1" applyBorder="1" applyAlignment="1">
      <alignment horizontal="left"/>
    </xf>
    <xf numFmtId="165" fontId="0" fillId="7" borderId="6" xfId="0" applyNumberFormat="1" applyFill="1" applyBorder="1" applyAlignment="1">
      <alignment horizontal="left"/>
    </xf>
    <xf numFmtId="0" fontId="0" fillId="4" borderId="3" xfId="0" applyFill="1" applyBorder="1" applyAlignment="1">
      <alignment horizontal="left"/>
    </xf>
    <xf numFmtId="165" fontId="0" fillId="4" borderId="4" xfId="1" applyNumberFormat="1" applyFont="1" applyFill="1" applyBorder="1" applyAlignment="1">
      <alignment horizontal="left"/>
    </xf>
    <xf numFmtId="0" fontId="0" fillId="4" borderId="5" xfId="0" applyFill="1" applyBorder="1" applyAlignment="1">
      <alignment horizontal="left"/>
    </xf>
    <xf numFmtId="165" fontId="0" fillId="4" borderId="6" xfId="1" applyNumberFormat="1" applyFont="1" applyFill="1" applyBorder="1" applyAlignment="1">
      <alignment horizontal="left"/>
    </xf>
    <xf numFmtId="0" fontId="0" fillId="4" borderId="7" xfId="0" applyFill="1" applyBorder="1" applyAlignment="1">
      <alignment horizontal="left"/>
    </xf>
    <xf numFmtId="165" fontId="0" fillId="4" borderId="8" xfId="1" applyNumberFormat="1" applyFont="1" applyFill="1" applyBorder="1" applyAlignment="1">
      <alignment horizontal="left"/>
    </xf>
    <xf numFmtId="0" fontId="0" fillId="7" borderId="3" xfId="0" applyFill="1" applyBorder="1" applyAlignment="1">
      <alignment horizontal="left"/>
    </xf>
    <xf numFmtId="165" fontId="0" fillId="7" borderId="4" xfId="1" applyNumberFormat="1" applyFont="1" applyFill="1" applyBorder="1" applyAlignment="1">
      <alignment horizontal="left"/>
    </xf>
    <xf numFmtId="0" fontId="0" fillId="7" borderId="5" xfId="0" applyFill="1" applyBorder="1" applyAlignment="1">
      <alignment horizontal="left"/>
    </xf>
    <xf numFmtId="165" fontId="0" fillId="7" borderId="6" xfId="1" applyNumberFormat="1" applyFont="1" applyFill="1" applyBorder="1" applyAlignment="1">
      <alignment horizontal="left"/>
    </xf>
    <xf numFmtId="0" fontId="0" fillId="7" borderId="7" xfId="0" applyFill="1" applyBorder="1" applyAlignment="1">
      <alignment horizontal="left"/>
    </xf>
    <xf numFmtId="165" fontId="0" fillId="7" borderId="8" xfId="1" applyNumberFormat="1" applyFont="1" applyFill="1" applyBorder="1" applyAlignment="1">
      <alignment horizontal="left"/>
    </xf>
    <xf numFmtId="0" fontId="0" fillId="9" borderId="3" xfId="0" applyFill="1" applyBorder="1" applyAlignment="1">
      <alignment horizontal="left"/>
    </xf>
    <xf numFmtId="165" fontId="0" fillId="9" borderId="4" xfId="0" applyNumberFormat="1" applyFill="1" applyBorder="1" applyAlignment="1">
      <alignment horizontal="left"/>
    </xf>
    <xf numFmtId="0" fontId="0" fillId="9" borderId="5" xfId="0" applyFill="1" applyBorder="1" applyAlignment="1">
      <alignment horizontal="left"/>
    </xf>
    <xf numFmtId="165" fontId="0" fillId="9" borderId="6" xfId="0" applyNumberFormat="1" applyFill="1" applyBorder="1" applyAlignment="1">
      <alignment horizontal="left"/>
    </xf>
    <xf numFmtId="166" fontId="0" fillId="11" borderId="3" xfId="0" applyNumberFormat="1" applyFill="1" applyBorder="1" applyAlignment="1">
      <alignment horizontal="left"/>
    </xf>
    <xf numFmtId="165" fontId="0" fillId="11" borderId="4" xfId="0" applyNumberFormat="1" applyFill="1" applyBorder="1" applyAlignment="1">
      <alignment horizontal="left"/>
    </xf>
    <xf numFmtId="166" fontId="0" fillId="11" borderId="5" xfId="0" applyNumberFormat="1" applyFill="1" applyBorder="1" applyAlignment="1">
      <alignment horizontal="left"/>
    </xf>
    <xf numFmtId="165" fontId="0" fillId="11" borderId="6" xfId="0" applyNumberFormat="1" applyFill="1" applyBorder="1" applyAlignment="1">
      <alignment horizontal="left"/>
    </xf>
    <xf numFmtId="166" fontId="0" fillId="11" borderId="7" xfId="0" applyNumberFormat="1" applyFill="1" applyBorder="1" applyAlignment="1">
      <alignment horizontal="left"/>
    </xf>
    <xf numFmtId="165" fontId="0" fillId="11" borderId="8" xfId="0" applyNumberFormat="1" applyFill="1" applyBorder="1" applyAlignment="1">
      <alignment horizontal="left"/>
    </xf>
    <xf numFmtId="167" fontId="0" fillId="2" borderId="3" xfId="0" applyNumberFormat="1" applyFill="1" applyBorder="1" applyAlignment="1">
      <alignment horizontal="left"/>
    </xf>
    <xf numFmtId="167" fontId="0" fillId="2" borderId="5" xfId="0" applyNumberFormat="1" applyFill="1" applyBorder="1" applyAlignment="1">
      <alignment horizontal="left"/>
    </xf>
    <xf numFmtId="167" fontId="0" fillId="2" borderId="7" xfId="0" applyNumberFormat="1" applyFill="1" applyBorder="1" applyAlignment="1">
      <alignment horizontal="left"/>
    </xf>
    <xf numFmtId="165" fontId="0" fillId="2" borderId="8" xfId="1" applyNumberFormat="1" applyFont="1" applyFill="1" applyBorder="1" applyAlignment="1">
      <alignment horizontal="left"/>
    </xf>
    <xf numFmtId="165" fontId="0" fillId="2" borderId="4" xfId="0" applyNumberFormat="1" applyFill="1" applyBorder="1" applyAlignment="1">
      <alignment horizontal="left"/>
    </xf>
    <xf numFmtId="165" fontId="0" fillId="2" borderId="6" xfId="0" applyNumberFormat="1" applyFill="1" applyBorder="1" applyAlignment="1">
      <alignment horizontal="left"/>
    </xf>
    <xf numFmtId="165" fontId="0" fillId="2" borderId="8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7" fontId="0" fillId="13" borderId="5" xfId="0" applyNumberFormat="1" applyFill="1" applyBorder="1" applyAlignment="1">
      <alignment horizontal="left"/>
    </xf>
    <xf numFmtId="165" fontId="0" fillId="13" borderId="6" xfId="0" applyNumberFormat="1" applyFill="1" applyBorder="1" applyAlignment="1">
      <alignment horizontal="left"/>
    </xf>
    <xf numFmtId="167" fontId="0" fillId="13" borderId="0" xfId="0" applyNumberFormat="1" applyFill="1" applyAlignment="1">
      <alignment horizontal="left"/>
    </xf>
    <xf numFmtId="3" fontId="3" fillId="2" borderId="2" xfId="1" applyNumberFormat="1" applyFon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8" fontId="0" fillId="0" borderId="2" xfId="1" applyNumberFormat="1" applyFont="1" applyBorder="1" applyAlignment="1">
      <alignment horizontal="center"/>
    </xf>
    <xf numFmtId="165" fontId="0" fillId="0" borderId="2" xfId="1" applyNumberFormat="1" applyFont="1" applyBorder="1"/>
    <xf numFmtId="2" fontId="0" fillId="2" borderId="0" xfId="0" applyNumberFormat="1" applyFill="1"/>
    <xf numFmtId="0" fontId="0" fillId="0" borderId="15" xfId="0" applyFill="1" applyBorder="1" applyAlignment="1">
      <alignment wrapText="1"/>
    </xf>
    <xf numFmtId="2" fontId="0" fillId="2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  <xf numFmtId="2" fontId="0" fillId="3" borderId="0" xfId="0" applyNumberFormat="1" applyFill="1"/>
    <xf numFmtId="2" fontId="0" fillId="5" borderId="0" xfId="0" applyNumberFormat="1" applyFill="1"/>
    <xf numFmtId="2" fontId="0" fillId="8" borderId="0" xfId="0" applyNumberFormat="1" applyFill="1"/>
    <xf numFmtId="2" fontId="0" fillId="7" borderId="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13" borderId="0" xfId="0" applyNumberFormat="1" applyFill="1" applyBorder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0" fillId="8" borderId="0" xfId="0" applyNumberFormat="1" applyFill="1" applyAlignment="1">
      <alignment horizontal="center"/>
    </xf>
    <xf numFmtId="2" fontId="0" fillId="0" borderId="0" xfId="0" applyNumberFormat="1"/>
    <xf numFmtId="165" fontId="0" fillId="2" borderId="0" xfId="1" applyNumberFormat="1" applyFont="1" applyFill="1"/>
    <xf numFmtId="165" fontId="0" fillId="3" borderId="0" xfId="1" applyNumberFormat="1" applyFont="1" applyFill="1"/>
    <xf numFmtId="165" fontId="0" fillId="5" borderId="0" xfId="1" applyNumberFormat="1" applyFont="1" applyFill="1"/>
    <xf numFmtId="165" fontId="0" fillId="8" borderId="0" xfId="1" applyNumberFormat="1" applyFont="1" applyFill="1"/>
    <xf numFmtId="165" fontId="0" fillId="7" borderId="0" xfId="1" applyNumberFormat="1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65" fontId="0" fillId="13" borderId="0" xfId="1" applyNumberFormat="1" applyFont="1" applyFill="1" applyBorder="1" applyAlignment="1">
      <alignment horizontal="center"/>
    </xf>
    <xf numFmtId="165" fontId="0" fillId="6" borderId="0" xfId="1" applyNumberFormat="1" applyFont="1" applyFill="1" applyAlignment="1">
      <alignment horizontal="center"/>
    </xf>
    <xf numFmtId="167" fontId="0" fillId="6" borderId="5" xfId="0" applyNumberFormat="1" applyFill="1" applyBorder="1" applyAlignment="1">
      <alignment horizontal="left"/>
    </xf>
    <xf numFmtId="165" fontId="0" fillId="6" borderId="6" xfId="0" applyNumberForma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2" fontId="0" fillId="6" borderId="0" xfId="0" applyNumberFormat="1" applyFill="1" applyAlignment="1">
      <alignment horizontal="left"/>
    </xf>
    <xf numFmtId="165" fontId="0" fillId="6" borderId="0" xfId="0" applyNumberFormat="1" applyFill="1" applyAlignment="1">
      <alignment horizontal="left"/>
    </xf>
    <xf numFmtId="0" fontId="4" fillId="0" borderId="0" xfId="3" applyFont="1" applyAlignment="1">
      <alignment vertical="center"/>
    </xf>
    <xf numFmtId="0" fontId="3" fillId="0" borderId="2" xfId="0" quotePrefix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1" xfId="0" quotePrefix="1" applyFont="1" applyBorder="1" applyAlignment="1">
      <alignment horizontal="center"/>
    </xf>
    <xf numFmtId="0" fontId="3" fillId="0" borderId="12" xfId="0" quotePrefix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12" borderId="9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14" borderId="0" xfId="0" applyFont="1" applyFill="1" applyBorder="1" applyAlignment="1">
      <alignment horizontal="center"/>
    </xf>
    <xf numFmtId="0" fontId="2" fillId="14" borderId="13" xfId="0" applyFont="1" applyFill="1" applyBorder="1" applyAlignment="1">
      <alignment horizontal="center"/>
    </xf>
    <xf numFmtId="0" fontId="2" fillId="14" borderId="14" xfId="0" applyFont="1" applyFill="1" applyBorder="1" applyAlignment="1">
      <alignment horizontal="center"/>
    </xf>
  </cellXfs>
  <cellStyles count="4">
    <cellStyle name="Hyperlink" xfId="3" builtinId="8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'Options &amp; WEFF across juris'!$I$15" fmlaRange="'Options &amp; WEFF across juris'!$I$3:$I$4" noThreeD="1" sel="1" val="0"/>
</file>

<file path=xl/ctrlProps/ctrlProp2.xml><?xml version="1.0" encoding="utf-8"?>
<formControlPr xmlns="http://schemas.microsoft.com/office/spreadsheetml/2009/9/main" objectType="Drop" dropStyle="combo" dx="16" fmlaLink="'Options &amp; WEFF across juris'!$L$15" fmlaRange="'Options &amp; WEFF across juris'!$L$3:$L$10" noThreeD="1" sel="8" val="0"/>
</file>

<file path=xl/ctrlProps/ctrlProp3.xml><?xml version="1.0" encoding="utf-8"?>
<formControlPr xmlns="http://schemas.microsoft.com/office/spreadsheetml/2009/9/main" objectType="Drop" dropStyle="combo" dx="16" fmlaLink="'Options &amp; WEFF across juris'!$B$15" fmlaRange="'Options &amp; WEFF across juris'!$B$3:$B$10" noThreeD="1" sel="1" val="0"/>
</file>

<file path=xl/ctrlProps/ctrlProp4.xml><?xml version="1.0" encoding="utf-8"?>
<formControlPr xmlns="http://schemas.microsoft.com/office/spreadsheetml/2009/9/main" objectType="Drop" dropLines="7" dropStyle="combo" dx="16" fmlaLink="'Options &amp; WEFF across juris'!$E$15" fmlaRange="'Options &amp; WEFF across juris'!$E$3:$E$9" noThreeD="1" sel="1" val="0"/>
</file>

<file path=xl/ctrlProps/ctrlProp5.xml><?xml version="1.0" encoding="utf-8"?>
<formControlPr xmlns="http://schemas.microsoft.com/office/spreadsheetml/2009/9/main" objectType="Drop" dropLines="2" dropStyle="combo" dx="16" fmlaLink="'Options and WEFFS across time'!$E$14" fmlaRange="'Options and WEFFS across time'!$I$3:$I$4" noThreeD="1" sel="1" val="0"/>
</file>

<file path=xl/ctrlProps/ctrlProp6.xml><?xml version="1.0" encoding="utf-8"?>
<formControlPr xmlns="http://schemas.microsoft.com/office/spreadsheetml/2009/9/main" objectType="Drop" dropStyle="combo" dx="16" fmlaLink="'Options and WEFFS across time'!$H$14" fmlaRange="'Options and WEFFS across time'!$L$3:$L$7" noThreeD="1" sel="2" val="0"/>
</file>

<file path=xl/ctrlProps/ctrlProp7.xml><?xml version="1.0" encoding="utf-8"?>
<formControlPr xmlns="http://schemas.microsoft.com/office/spreadsheetml/2009/9/main" objectType="Drop" dropLines="9" dropStyle="combo" dx="16" fmlaLink="'Options and WEFFS across time'!$B$14" fmlaRange="'Options and WEFFS across time'!$B$2:$B$10" noThreeD="1" sel="3" val="0"/>
</file>

<file path=xl/ctrlProps/ctrlProp8.xml><?xml version="1.0" encoding="utf-8"?>
<formControlPr xmlns="http://schemas.microsoft.com/office/spreadsheetml/2009/9/main" objectType="Drop" dropStyle="combo" dx="16" fmlaLink="'Options &amp; WEFF Max, Min'!$E$15" fmlaRange="'Options &amp; WEFF Max, Min'!$F$3:$F$10" noThreeD="1" sel="2" val="0"/>
</file>

<file path=xl/ctrlProps/ctrlProp9.xml><?xml version="1.0" encoding="utf-8"?>
<formControlPr xmlns="http://schemas.microsoft.com/office/spreadsheetml/2009/9/main" objectType="Drop" dropLines="9" dropStyle="combo" dx="16" fmlaLink="'Options &amp; WEFF Max, Min'!$A$15" fmlaRange="'Options &amp; WEFF Max, Min'!$B$2:$B$10" noThreeD="1" sel="5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</xdr:row>
          <xdr:rowOff>161925</xdr:rowOff>
        </xdr:from>
        <xdr:to>
          <xdr:col>4</xdr:col>
          <xdr:colOff>628650</xdr:colOff>
          <xdr:row>16</xdr:row>
          <xdr:rowOff>152400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161925</xdr:rowOff>
        </xdr:from>
        <xdr:to>
          <xdr:col>4</xdr:col>
          <xdr:colOff>628650</xdr:colOff>
          <xdr:row>15</xdr:row>
          <xdr:rowOff>9525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18</xdr:row>
      <xdr:rowOff>7620</xdr:rowOff>
    </xdr:from>
    <xdr:to>
      <xdr:col>2</xdr:col>
      <xdr:colOff>7620</xdr:colOff>
      <xdr:row>19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65760" y="2415540"/>
          <a:ext cx="944880" cy="160020"/>
        </a:xfrm>
        <a:prstGeom prst="rect">
          <a:avLst/>
        </a:prstGeom>
        <a:solidFill>
          <a:srgbClr val="FFC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900" b="1"/>
            <a:t>Jurisdiction 1</a:t>
          </a:r>
        </a:p>
      </xdr:txBody>
    </xdr:sp>
    <xdr:clientData/>
  </xdr:twoCellAnchor>
  <xdr:twoCellAnchor>
    <xdr:from>
      <xdr:col>1</xdr:col>
      <xdr:colOff>929640</xdr:colOff>
      <xdr:row>14</xdr:row>
      <xdr:rowOff>15240</xdr:rowOff>
    </xdr:from>
    <xdr:to>
      <xdr:col>3</xdr:col>
      <xdr:colOff>7620</xdr:colOff>
      <xdr:row>15</xdr:row>
      <xdr:rowOff>38100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295400" y="2087880"/>
          <a:ext cx="1120140" cy="190500"/>
        </a:xfrm>
        <a:prstGeom prst="rect">
          <a:avLst/>
        </a:prstGeom>
        <a:solidFill>
          <a:srgbClr val="00B05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900" b="1"/>
            <a:t>Time period</a:t>
          </a:r>
        </a:p>
      </xdr:txBody>
    </xdr:sp>
    <xdr:clientData/>
  </xdr:twoCellAnchor>
  <xdr:twoCellAnchor>
    <xdr:from>
      <xdr:col>2</xdr:col>
      <xdr:colOff>0</xdr:colOff>
      <xdr:row>15</xdr:row>
      <xdr:rowOff>160020</xdr:rowOff>
    </xdr:from>
    <xdr:to>
      <xdr:col>3</xdr:col>
      <xdr:colOff>0</xdr:colOff>
      <xdr:row>16</xdr:row>
      <xdr:rowOff>160020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303020" y="2400300"/>
          <a:ext cx="1104900" cy="167640"/>
        </a:xfrm>
        <a:prstGeom prst="rect">
          <a:avLst/>
        </a:prstGeom>
        <a:solidFill>
          <a:srgbClr val="00B05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900" b="1"/>
            <a:t>Adult/child</a:t>
          </a:r>
        </a:p>
      </xdr:txBody>
    </xdr:sp>
    <xdr:clientData/>
  </xdr:twoCellAnchor>
  <xdr:twoCellAnchor>
    <xdr:from>
      <xdr:col>0</xdr:col>
      <xdr:colOff>30480</xdr:colOff>
      <xdr:row>0</xdr:row>
      <xdr:rowOff>0</xdr:rowOff>
    </xdr:from>
    <xdr:to>
      <xdr:col>16</xdr:col>
      <xdr:colOff>7620</xdr:colOff>
      <xdr:row>10</xdr:row>
      <xdr:rowOff>99060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30480" y="0"/>
          <a:ext cx="10088880" cy="18364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="1" u="sng"/>
            <a:t>Significance testing for Ausplay estimates of proportion</a:t>
          </a:r>
        </a:p>
        <a:p>
          <a:r>
            <a:rPr lang="en-AU" sz="1100" b="1"/>
            <a:t>1. This</a:t>
          </a:r>
          <a:r>
            <a:rPr lang="en-AU" sz="1100" b="1" baseline="0"/>
            <a:t> sheet tests for statistically significant differences between annual AusPlay estimates of proportion across different jurisdictions for the same time period and estimate type (adult/child).</a:t>
          </a:r>
          <a:br>
            <a:rPr lang="en-AU" sz="1100" b="1" baseline="0"/>
          </a:br>
          <a:endParaRPr lang="en-AU" sz="1100" b="1" baseline="0"/>
        </a:p>
        <a:p>
          <a:r>
            <a:rPr lang="en-AU" sz="1100" b="1" baseline="0"/>
            <a:t>2. Use the two green drop-down boxes to choose the time period and whether adult or child proportions a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 being compared.</a:t>
          </a:r>
        </a:p>
        <a:p>
          <a:endParaRPr lang="en-AU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Use the two orange drop-down boxes to choose the (</a:t>
          </a:r>
          <a:r>
            <a:rPr lang="en-AU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different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jurisdictions comparing proportions. Comparisons are not possible between jurisdictions and total.</a:t>
          </a:r>
        </a:p>
        <a:p>
          <a:endParaRPr lang="en-AU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Enter the two proportions (proportion 1 and proportion 2) which are being compared, together with their associated estimates of total (Total 1 and Total 2). For example the total associated with a participation rate is the estimated number of participants. This value is required to calculate the standard errors. </a:t>
          </a:r>
          <a:r>
            <a:rPr lang="en-AU" sz="11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ONLY ENTER DATA IN THE YELLOW SHADED AREA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AU" sz="11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AU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AU" sz="1100" b="1" baseline="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18</xdr:row>
          <xdr:rowOff>9525</xdr:rowOff>
        </xdr:from>
        <xdr:to>
          <xdr:col>3</xdr:col>
          <xdr:colOff>9525</xdr:colOff>
          <xdr:row>19</xdr:row>
          <xdr:rowOff>19050</xdr:rowOff>
        </xdr:to>
        <xdr:sp macro="" textlink="">
          <xdr:nvSpPr>
            <xdr:cNvPr id="6149" name="Drop Down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0</xdr:colOff>
      <xdr:row>18</xdr:row>
      <xdr:rowOff>7620</xdr:rowOff>
    </xdr:from>
    <xdr:to>
      <xdr:col>5</xdr:col>
      <xdr:colOff>7620</xdr:colOff>
      <xdr:row>19</xdr:row>
      <xdr:rowOff>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365760" y="2415540"/>
          <a:ext cx="944880" cy="160020"/>
        </a:xfrm>
        <a:prstGeom prst="rect">
          <a:avLst/>
        </a:prstGeom>
        <a:solidFill>
          <a:srgbClr val="FFC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900" b="1"/>
            <a:t>Jurisdiction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9525</xdr:rowOff>
        </xdr:from>
        <xdr:to>
          <xdr:col>6</xdr:col>
          <xdr:colOff>47625</xdr:colOff>
          <xdr:row>19</xdr:row>
          <xdr:rowOff>9525</xdr:rowOff>
        </xdr:to>
        <xdr:sp macro="" textlink="">
          <xdr:nvSpPr>
            <xdr:cNvPr id="6150" name="Drop Down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662940</xdr:colOff>
      <xdr:row>10</xdr:row>
      <xdr:rowOff>137160</xdr:rowOff>
    </xdr:from>
    <xdr:to>
      <xdr:col>16</xdr:col>
      <xdr:colOff>0</xdr:colOff>
      <xdr:row>17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638800" y="1874520"/>
          <a:ext cx="4465320" cy="115062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AU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example: </a:t>
          </a:r>
          <a:r>
            <a:rPr lang="en-AU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Comparing proportions from Tasmania and NSW in </a:t>
          </a:r>
          <a:r>
            <a:rPr lang="en-AU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Calendar year 2016 with the Tasmanian proportion of 75% having an associated total of 50,000 and the NSW proportion of 60% having as associated total of 1,800,000 - the difference of 5% is </a:t>
          </a:r>
          <a:r>
            <a:rPr lang="en-AU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statistically significant</a:t>
          </a:r>
          <a:endParaRPr lang="en-AU">
            <a:effectLst/>
          </a:endParaRPr>
        </a:p>
      </xdr:txBody>
    </xdr:sp>
    <xdr:clientData/>
  </xdr:twoCellAnchor>
  <xdr:twoCellAnchor>
    <xdr:from>
      <xdr:col>6</xdr:col>
      <xdr:colOff>205740</xdr:colOff>
      <xdr:row>18</xdr:row>
      <xdr:rowOff>7620</xdr:rowOff>
    </xdr:from>
    <xdr:to>
      <xdr:col>12</xdr:col>
      <xdr:colOff>1120140</xdr:colOff>
      <xdr:row>20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181600" y="2750820"/>
          <a:ext cx="1607820" cy="42672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900" b="1" i="1">
              <a:solidFill>
                <a:srgbClr val="FF0000"/>
              </a:solidFill>
            </a:rPr>
            <a:t>Jurisdiction 2 must be different from juris</a:t>
          </a:r>
          <a:r>
            <a:rPr lang="en-AU" sz="900" b="1" i="1" baseline="0">
              <a:solidFill>
                <a:srgbClr val="FF0000"/>
              </a:solidFill>
            </a:rPr>
            <a:t>diction 1</a:t>
          </a:r>
          <a:endParaRPr lang="en-AU" sz="900" b="1" i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99060</xdr:colOff>
      <xdr:row>18</xdr:row>
      <xdr:rowOff>53340</xdr:rowOff>
    </xdr:from>
    <xdr:to>
      <xdr:col>6</xdr:col>
      <xdr:colOff>213360</xdr:colOff>
      <xdr:row>18</xdr:row>
      <xdr:rowOff>129540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074920" y="2796540"/>
          <a:ext cx="114300" cy="76200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38099</xdr:colOff>
      <xdr:row>10</xdr:row>
      <xdr:rowOff>129540</xdr:rowOff>
    </xdr:from>
    <xdr:to>
      <xdr:col>6</xdr:col>
      <xdr:colOff>47624</xdr:colOff>
      <xdr:row>13</xdr:row>
      <xdr:rowOff>91440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38099" y="1805940"/>
          <a:ext cx="4848225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050" b="1" i="1">
              <a:solidFill>
                <a:srgbClr val="FF0000"/>
              </a:solidFill>
            </a:rPr>
            <a:t>PLEASE NOTE</a:t>
          </a:r>
          <a:r>
            <a:rPr lang="en-AU" sz="1050" i="1">
              <a:solidFill>
                <a:srgbClr val="FF0000"/>
              </a:solidFill>
            </a:rPr>
            <a:t>: From July 1, 2019 some methodological changes were made to AusPlay and any comparison with earlier data should take these changes into account.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</xdr:row>
          <xdr:rowOff>9525</xdr:rowOff>
        </xdr:from>
        <xdr:to>
          <xdr:col>4</xdr:col>
          <xdr:colOff>466725</xdr:colOff>
          <xdr:row>14</xdr:row>
          <xdr:rowOff>19050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7620</xdr:colOff>
      <xdr:row>13</xdr:row>
      <xdr:rowOff>0</xdr:rowOff>
    </xdr:from>
    <xdr:to>
      <xdr:col>3</xdr:col>
      <xdr:colOff>0</xdr:colOff>
      <xdr:row>13</xdr:row>
      <xdr:rowOff>160020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310640" y="2240280"/>
          <a:ext cx="1089660" cy="160020"/>
        </a:xfrm>
        <a:prstGeom prst="rect">
          <a:avLst/>
        </a:prstGeom>
        <a:solidFill>
          <a:srgbClr val="00B05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900" b="1"/>
            <a:t>Adult/child</a:t>
          </a:r>
        </a:p>
      </xdr:txBody>
    </xdr:sp>
    <xdr:clientData/>
  </xdr:twoCellAnchor>
  <xdr:twoCellAnchor>
    <xdr:from>
      <xdr:col>0</xdr:col>
      <xdr:colOff>30480</xdr:colOff>
      <xdr:row>0</xdr:row>
      <xdr:rowOff>0</xdr:rowOff>
    </xdr:from>
    <xdr:to>
      <xdr:col>16</xdr:col>
      <xdr:colOff>7620</xdr:colOff>
      <xdr:row>9</xdr:row>
      <xdr:rowOff>99060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0480" y="0"/>
          <a:ext cx="10203180" cy="166878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="1" u="sng"/>
            <a:t>Significance testing for Ausplay estimates of proportion</a:t>
          </a:r>
        </a:p>
        <a:p>
          <a:r>
            <a:rPr lang="en-AU" sz="1100" b="1"/>
            <a:t>1. This</a:t>
          </a:r>
          <a:r>
            <a:rPr lang="en-AU" sz="1100" b="1" baseline="0"/>
            <a:t> sheet tests for statistically significant differences between annual AusPlay estimates of proportion for the same jurisdiction and same estimate type (adult/child) across either calendar years 2016 and 2017, or financial years 2016/17 and 2017/18.</a:t>
          </a:r>
          <a:br>
            <a:rPr lang="en-AU" sz="1100" b="1" baseline="0"/>
          </a:br>
          <a:endParaRPr lang="en-AU" sz="1100" b="1" baseline="0"/>
        </a:p>
        <a:p>
          <a:r>
            <a:rPr lang="en-AU" sz="1100" b="1" baseline="0"/>
            <a:t>2. Use the three green drop-down boxes to whether adult or child proportions a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 being compared, the jurisdiction and the time periods being compared.</a:t>
          </a:r>
        </a:p>
        <a:p>
          <a:endParaRPr lang="en-AU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Enter the two proportions (proportion 1 and proportion 2) which are being compared, together with their associated estimates of total (Total 1 and Total 2). For example the total associated with a participation rate is the estimated number of participants. This value is required to calculate the standard errors. </a:t>
          </a:r>
          <a:r>
            <a:rPr lang="en-AU" sz="11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ONLY ENTER DATA IN THE YELLOW SHADED AREA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AU" sz="11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AU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AU" sz="1100" b="1" baseline="0"/>
        </a:p>
      </xdr:txBody>
    </xdr:sp>
    <xdr:clientData/>
  </xdr:twoCellAnchor>
  <xdr:twoCellAnchor>
    <xdr:from>
      <xdr:col>12</xdr:col>
      <xdr:colOff>7620</xdr:colOff>
      <xdr:row>10</xdr:row>
      <xdr:rowOff>152399</xdr:rowOff>
    </xdr:from>
    <xdr:to>
      <xdr:col>16</xdr:col>
      <xdr:colOff>3810</xdr:colOff>
      <xdr:row>16</xdr:row>
      <xdr:rowOff>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5798820" y="1889759"/>
          <a:ext cx="4431030" cy="853441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AU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example: </a:t>
          </a:r>
          <a:r>
            <a:rPr lang="en-AU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Comparing adult proportions from NSW of 60% in 2016 and 68% in 2017 </a:t>
          </a:r>
          <a:r>
            <a:rPr lang="en-AU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 the 2016 proportion having an associated total of 600,000 and the 2017 proportion having an associated total of 680,000 - the difference of 8% is </a:t>
          </a:r>
          <a:r>
            <a:rPr lang="en-AU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statistically significant</a:t>
          </a:r>
          <a:endParaRPr lang="en-AU">
            <a:effectLst/>
          </a:endParaRP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1097280</xdr:colOff>
      <xdr:row>16</xdr:row>
      <xdr:rowOff>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303020" y="2743200"/>
          <a:ext cx="1097280" cy="167640"/>
        </a:xfrm>
        <a:prstGeom prst="rect">
          <a:avLst/>
        </a:prstGeom>
        <a:solidFill>
          <a:srgbClr val="00B05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900" b="1"/>
            <a:t>Jurisdiction </a:t>
          </a:r>
        </a:p>
      </xdr:txBody>
    </xdr:sp>
    <xdr:clientData/>
  </xdr:twoCellAnchor>
  <xdr:twoCellAnchor>
    <xdr:from>
      <xdr:col>2</xdr:col>
      <xdr:colOff>0</xdr:colOff>
      <xdr:row>16</xdr:row>
      <xdr:rowOff>160020</xdr:rowOff>
    </xdr:from>
    <xdr:to>
      <xdr:col>3</xdr:col>
      <xdr:colOff>0</xdr:colOff>
      <xdr:row>18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303020" y="2903220"/>
          <a:ext cx="1097280" cy="175260"/>
        </a:xfrm>
        <a:prstGeom prst="rect">
          <a:avLst/>
        </a:prstGeom>
        <a:solidFill>
          <a:srgbClr val="00B05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900" b="1"/>
            <a:t>Comparison period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171450</xdr:rowOff>
        </xdr:from>
        <xdr:to>
          <xdr:col>4</xdr:col>
          <xdr:colOff>457200</xdr:colOff>
          <xdr:row>18</xdr:row>
          <xdr:rowOff>9525</xdr:rowOff>
        </xdr:to>
        <xdr:sp macro="" textlink="">
          <xdr:nvSpPr>
            <xdr:cNvPr id="7174" name="Drop Down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2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15</xdr:row>
          <xdr:rowOff>0</xdr:rowOff>
        </xdr:from>
        <xdr:to>
          <xdr:col>4</xdr:col>
          <xdr:colOff>476250</xdr:colOff>
          <xdr:row>16</xdr:row>
          <xdr:rowOff>0</xdr:rowOff>
        </xdr:to>
        <xdr:sp macro="" textlink="">
          <xdr:nvSpPr>
            <xdr:cNvPr id="7175" name="Drop Down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2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22860</xdr:colOff>
      <xdr:row>10</xdr:row>
      <xdr:rowOff>7620</xdr:rowOff>
    </xdr:from>
    <xdr:to>
      <xdr:col>5</xdr:col>
      <xdr:colOff>960120</xdr:colOff>
      <xdr:row>12</xdr:row>
      <xdr:rowOff>137160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2860" y="1744980"/>
          <a:ext cx="4945380" cy="464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050" b="1" i="1">
              <a:solidFill>
                <a:srgbClr val="FF0000"/>
              </a:solidFill>
            </a:rPr>
            <a:t>PLEASE NOTE</a:t>
          </a:r>
          <a:r>
            <a:rPr lang="en-AU" sz="1050" i="1">
              <a:solidFill>
                <a:srgbClr val="FF0000"/>
              </a:solidFill>
            </a:rPr>
            <a:t>: From July 1, 2019 some methodological changes were made to AusPlay and any comparison with earlier data should take these changes into account.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0</xdr:rowOff>
        </xdr:from>
        <xdr:to>
          <xdr:col>3</xdr:col>
          <xdr:colOff>381000</xdr:colOff>
          <xdr:row>18</xdr:row>
          <xdr:rowOff>9525</xdr:rowOff>
        </xdr:to>
        <xdr:sp macro="" textlink="">
          <xdr:nvSpPr>
            <xdr:cNvPr id="9218" name="Drop Down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19</xdr:row>
      <xdr:rowOff>160020</xdr:rowOff>
    </xdr:from>
    <xdr:to>
      <xdr:col>2</xdr:col>
      <xdr:colOff>4762</xdr:colOff>
      <xdr:row>21</xdr:row>
      <xdr:rowOff>9525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66713" y="3060383"/>
          <a:ext cx="1109662" cy="182880"/>
        </a:xfrm>
        <a:prstGeom prst="rect">
          <a:avLst/>
        </a:prstGeom>
        <a:solidFill>
          <a:srgbClr val="00B05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AU" sz="900" b="1"/>
            <a:t>Jurisdiction</a:t>
          </a:r>
        </a:p>
      </xdr:txBody>
    </xdr:sp>
    <xdr:clientData/>
  </xdr:twoCellAnchor>
  <xdr:twoCellAnchor>
    <xdr:from>
      <xdr:col>0</xdr:col>
      <xdr:colOff>361951</xdr:colOff>
      <xdr:row>17</xdr:row>
      <xdr:rowOff>10478</xdr:rowOff>
    </xdr:from>
    <xdr:to>
      <xdr:col>2</xdr:col>
      <xdr:colOff>0</xdr:colOff>
      <xdr:row>18</xdr:row>
      <xdr:rowOff>4763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61951" y="2577466"/>
          <a:ext cx="1109662" cy="160972"/>
        </a:xfrm>
        <a:prstGeom prst="rect">
          <a:avLst/>
        </a:prstGeom>
        <a:solidFill>
          <a:srgbClr val="00B05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AU" sz="900" b="1"/>
            <a:t>Time period</a:t>
          </a:r>
        </a:p>
      </xdr:txBody>
    </xdr:sp>
    <xdr:clientData/>
  </xdr:twoCellAnchor>
  <xdr:twoCellAnchor>
    <xdr:from>
      <xdr:col>0</xdr:col>
      <xdr:colOff>30480</xdr:colOff>
      <xdr:row>0</xdr:row>
      <xdr:rowOff>0</xdr:rowOff>
    </xdr:from>
    <xdr:to>
      <xdr:col>8</xdr:col>
      <xdr:colOff>1226820</xdr:colOff>
      <xdr:row>11</xdr:row>
      <xdr:rowOff>152400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30480" y="0"/>
          <a:ext cx="7856220" cy="20574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="1" u="sng"/>
            <a:t>Calculating the</a:t>
          </a:r>
          <a:r>
            <a:rPr lang="en-AU" sz="1200" b="1" u="sng" baseline="0"/>
            <a:t> 95% confidence interval limits for aggregated Adult plus Child </a:t>
          </a:r>
          <a:r>
            <a:rPr lang="en-AU" sz="1200" b="1" u="sng"/>
            <a:t>Ausplay estimates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AU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 b="1" u="none"/>
            <a:t>1. This</a:t>
          </a:r>
          <a:r>
            <a:rPr lang="en-AU" sz="1100" b="1" u="none" baseline="0"/>
            <a:t> sheet calculates </a:t>
          </a:r>
          <a:r>
            <a:rPr lang="en-AU" sz="11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AU" sz="1100" b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95% confidence interval limits (the MAX and MIN values) for aggregated Adult plus Child </a:t>
          </a:r>
          <a:r>
            <a:rPr lang="en-AU" sz="11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Ausplay estimates for a</a:t>
          </a:r>
          <a:r>
            <a:rPr lang="en-AU" sz="1100" b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given 12 month period and a given jurisdiction (including total Australia).</a:t>
          </a:r>
          <a:endParaRPr lang="en-AU" u="none">
            <a:effectLst/>
          </a:endParaRPr>
        </a:p>
        <a:p>
          <a:endParaRPr lang="en-AU" sz="1100" b="1" baseline="0"/>
        </a:p>
        <a:p>
          <a:r>
            <a:rPr lang="en-AU" sz="1100" b="1" baseline="0"/>
            <a:t>2. Use the two green drop-down boxes to choose the time period and the jurisdiction.</a:t>
          </a:r>
          <a:endParaRPr lang="en-AU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AU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Enter the Adult and Child for the given time period and jurisdiction. </a:t>
          </a:r>
          <a:r>
            <a:rPr lang="en-AU" sz="11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ONLY ENTER DATA IN THE YELLOW SHADED AREA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AU" sz="11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NOTE: If either the Adult or Child estimate value is left blank the MIN and MAX values calculated are for the individual Adult or Child estimate which is entered.</a:t>
          </a:r>
        </a:p>
        <a:p>
          <a:endParaRPr lang="en-AU" sz="1100" b="1" baseline="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19</xdr:row>
          <xdr:rowOff>161925</xdr:rowOff>
        </xdr:from>
        <xdr:to>
          <xdr:col>3</xdr:col>
          <xdr:colOff>400050</xdr:colOff>
          <xdr:row>21</xdr:row>
          <xdr:rowOff>9525</xdr:rowOff>
        </xdr:to>
        <xdr:sp macro="" textlink="">
          <xdr:nvSpPr>
            <xdr:cNvPr id="9219" name="Drop Down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3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7620</xdr:colOff>
      <xdr:row>15</xdr:row>
      <xdr:rowOff>38100</xdr:rowOff>
    </xdr:from>
    <xdr:to>
      <xdr:col>8</xdr:col>
      <xdr:colOff>7620</xdr:colOff>
      <xdr:row>23</xdr:row>
      <xdr:rowOff>106680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3314700" y="2613660"/>
          <a:ext cx="3383280" cy="14097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AU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example: </a:t>
          </a:r>
          <a:r>
            <a:rPr lang="en-AU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Adult and Child estimates for Qld in 2018/19 of 200,000 and 100,000, respectively, the aggregated value of 300,000 has a margin of error (MOE) of  50,200. This</a:t>
          </a:r>
          <a:r>
            <a:rPr lang="en-AU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means the </a:t>
          </a:r>
          <a:r>
            <a:rPr lang="en-AU" sz="11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</a:t>
          </a:r>
          <a:r>
            <a:rPr lang="en-AU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value (the lower limit of the 95% confidence interval) is </a:t>
          </a:r>
          <a:r>
            <a:rPr lang="en-AU" sz="11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249,800</a:t>
          </a:r>
          <a:r>
            <a:rPr lang="en-AU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(=300,000-50,200) and </a:t>
          </a:r>
          <a:r>
            <a:rPr lang="en-AU" sz="11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MAX</a:t>
          </a:r>
          <a:r>
            <a:rPr lang="en-AU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value (the upper limit of the 95% confidence interval) is </a:t>
          </a:r>
          <a:r>
            <a:rPr lang="en-AU" sz="11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350,200</a:t>
          </a:r>
          <a:r>
            <a:rPr lang="en-AU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(=300,000+450,200). </a:t>
          </a:r>
        </a:p>
      </xdr:txBody>
    </xdr:sp>
    <xdr:clientData/>
  </xdr:twoCellAnchor>
  <xdr:twoCellAnchor>
    <xdr:from>
      <xdr:col>0</xdr:col>
      <xdr:colOff>30479</xdr:colOff>
      <xdr:row>12</xdr:row>
      <xdr:rowOff>30480</xdr:rowOff>
    </xdr:from>
    <xdr:to>
      <xdr:col>6</xdr:col>
      <xdr:colOff>9524</xdr:colOff>
      <xdr:row>14</xdr:row>
      <xdr:rowOff>160020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30479" y="2030730"/>
          <a:ext cx="4836795" cy="4533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050" b="1" i="1">
              <a:solidFill>
                <a:srgbClr val="FF0000"/>
              </a:solidFill>
            </a:rPr>
            <a:t>PLEASE NOTE</a:t>
          </a:r>
          <a:r>
            <a:rPr lang="en-AU" sz="1050" i="1">
              <a:solidFill>
                <a:srgbClr val="FF0000"/>
              </a:solidFill>
            </a:rPr>
            <a:t>: From July 1, 2019 some methodological changes were made to AusPlay and any comparison with earlier data should take these changes into account.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5</xdr:row>
      <xdr:rowOff>22860</xdr:rowOff>
    </xdr:from>
    <xdr:to>
      <xdr:col>12</xdr:col>
      <xdr:colOff>182880</xdr:colOff>
      <xdr:row>16</xdr:row>
      <xdr:rowOff>99060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flipH="1">
          <a:off x="6332220" y="861060"/>
          <a:ext cx="2750820" cy="20878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ourism%20Research%20Australia\2018\NVS%202018%20(AU3000454)\TRA%20phone%20pop%20calculations\4.%20TRA%20Phone%20pop%20calcs%20Q4,%202018\Final_calcs_Q4_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ZZZ%20Phil%20Hughes\ABS\ASGS\Postcode%20to%20GCCSA%20correspondence\CG_POSTCODE_2016_GCCSA_2016%20-%20PH%20calc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stralian%20Sports%20Commission\3000149%20(Ausplay)\Weighting\Standard%20errors,%20sig%20tests\WEFF%20values,%20ave%20wts%20Q4%202015%20-%20Q4,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 (old)"/>
      <sheetName val="0. Template"/>
      <sheetName val="Read Me"/>
      <sheetName val="setting"/>
      <sheetName val="1. Area1 -latest RMR"/>
      <sheetName val="x1. RMR raw Sept 2017"/>
      <sheetName val="2. Area2 -latest RMR"/>
      <sheetName val="3. States - latest RMR"/>
      <sheetName val="4. TRA Previous qtr benchmark"/>
      <sheetName val="5. RMR aggregation sheet"/>
      <sheetName val="5. Convert RMR format"/>
      <sheetName val="6. National PO projections"/>
      <sheetName val="7. Calculations on RMR data"/>
      <sheetName val="8. Check RMR8 convergence"/>
      <sheetName val="9. RMR margins"/>
      <sheetName val="10. Creating NewBenchM Popcount"/>
      <sheetName val="11. Check totals sum to margins"/>
      <sheetName val="12. New_TRA_pop_values"/>
      <sheetName val="60. ERP"/>
      <sheetName val="90. LU Origin"/>
      <sheetName val="91. LU Age"/>
      <sheetName val="92. LU Gender"/>
      <sheetName val="999. Formula"/>
    </sheetNames>
    <sheetDataSet>
      <sheetData sheetId="0"/>
      <sheetData sheetId="1"/>
      <sheetData sheetId="2"/>
      <sheetData sheetId="3">
        <row r="3">
          <cell r="C3">
            <v>2019</v>
          </cell>
        </row>
        <row r="4">
          <cell r="C4">
            <v>1</v>
          </cell>
        </row>
        <row r="9">
          <cell r="C9">
            <v>88</v>
          </cell>
        </row>
        <row r="11">
          <cell r="C11">
            <v>4</v>
          </cell>
        </row>
        <row r="12">
          <cell r="C12">
            <v>2018</v>
          </cell>
        </row>
        <row r="13">
          <cell r="C13" t="str">
            <v>MarQ19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ode to GCCSA State LU"/>
      <sheetName val="Piv to get LU"/>
      <sheetName val="Contents"/>
      <sheetName val="Table 1"/>
      <sheetName val="Table 2"/>
      <sheetName val="Table 3"/>
      <sheetName val="Table 4"/>
      <sheetName val="Table 5"/>
      <sheetName val="Explanatory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WEFF by Qtr"/>
      <sheetName val="Tas summary"/>
      <sheetName val="NT Child pop values"/>
      <sheetName val="Q4, 2015"/>
      <sheetName val="Q1, 2016"/>
      <sheetName val="Q2, 2016"/>
      <sheetName val="Q3, 2016"/>
      <sheetName val="Q4, 2016"/>
      <sheetName val="Q1, 2017"/>
      <sheetName val="Q2, 2017"/>
      <sheetName val="Q3, 2017"/>
      <sheetName val="Q4, 2017"/>
      <sheetName val="Q1, 2018"/>
      <sheetName val="Q2, 2018"/>
      <sheetName val="Q3, 2018"/>
      <sheetName val="Q4, 2018"/>
      <sheetName val="Q1, 2019"/>
      <sheetName val="Q2, 2019"/>
      <sheetName val="Q3, 2019"/>
      <sheetName val="Q4, 2019"/>
      <sheetName val="Q4, 2015 - Q3, 2016"/>
      <sheetName val="Dec 2015 to Sep 2016"/>
      <sheetName val="Calendar 2016"/>
      <sheetName val="Financial 16_17"/>
      <sheetName val="Calendar 2017"/>
      <sheetName val="Financial 2017_18"/>
      <sheetName val="Calendar 2018 "/>
      <sheetName val="Financial 2018_19"/>
      <sheetName val="Calendar 2019"/>
      <sheetName val="Annual sample size summary"/>
      <sheetName val="Summary of summaries"/>
      <sheetName val="Summary for Sigtest sheet"/>
      <sheetName val="Chart - State WEFF"/>
      <sheetName val="Ave wts Q4, 2015"/>
      <sheetName val="Ave wts Q1, 2016"/>
      <sheetName val="Ave wts Q2, 2016"/>
      <sheetName val="Ave wts Q3, 2016"/>
      <sheetName val="Ave wts Q4, 2016"/>
      <sheetName val="Ave wts Q1, 2017"/>
      <sheetName val="Ave wts Q2, 2017"/>
      <sheetName val="Ave wts Q3, 2017"/>
      <sheetName val="Ave wts Q4, 2017"/>
      <sheetName val="Ave wts Q4,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0">
          <cell r="J30">
            <v>1.3592722930192671</v>
          </cell>
          <cell r="N30">
            <v>8.3340443346632744E-4</v>
          </cell>
        </row>
        <row r="31">
          <cell r="J31">
            <v>1.43584650463162</v>
          </cell>
        </row>
        <row r="32">
          <cell r="J32">
            <v>1.3640377042163001</v>
          </cell>
        </row>
        <row r="33">
          <cell r="J33">
            <v>1.4768783403914767</v>
          </cell>
        </row>
        <row r="34">
          <cell r="J34">
            <v>1.6122710058141834</v>
          </cell>
        </row>
        <row r="35">
          <cell r="J35">
            <v>2.6681746332879275</v>
          </cell>
        </row>
        <row r="36">
          <cell r="J36">
            <v>2.8055634354363752</v>
          </cell>
        </row>
        <row r="37">
          <cell r="J37">
            <v>2.1314261245417905</v>
          </cell>
        </row>
        <row r="38">
          <cell r="J38">
            <v>1.5343222516023034</v>
          </cell>
        </row>
        <row r="62">
          <cell r="J62">
            <v>1.6515469326153915</v>
          </cell>
          <cell r="N62">
            <v>6.8508900770204218E-4</v>
          </cell>
        </row>
        <row r="63">
          <cell r="J63">
            <v>1.5188677816135865</v>
          </cell>
          <cell r="N63">
            <v>8.4296239821496594E-4</v>
          </cell>
        </row>
        <row r="64">
          <cell r="J64">
            <v>1.6435506191715168</v>
          </cell>
          <cell r="N64">
            <v>7.4649847698700605E-4</v>
          </cell>
        </row>
        <row r="65">
          <cell r="J65">
            <v>1.6665986918832181</v>
          </cell>
          <cell r="N65">
            <v>7.9333553550487161E-4</v>
          </cell>
        </row>
        <row r="66">
          <cell r="J66">
            <v>1.6372967336113959</v>
          </cell>
          <cell r="N66">
            <v>9.0990401323845299E-4</v>
          </cell>
        </row>
        <row r="67">
          <cell r="J67">
            <v>3.3616800206423729</v>
          </cell>
          <cell r="N67">
            <v>1.8312949038459389E-3</v>
          </cell>
        </row>
        <row r="68">
          <cell r="J68">
            <v>3.119979666088605</v>
          </cell>
          <cell r="N68">
            <v>2.7833210472898271E-3</v>
          </cell>
        </row>
        <row r="69">
          <cell r="J69">
            <v>2.0410309506371225</v>
          </cell>
          <cell r="N69">
            <v>2.0504742038825663E-3</v>
          </cell>
        </row>
        <row r="70">
          <cell r="J70">
            <v>1.7405569793836675</v>
          </cell>
          <cell r="N70">
            <v>8.3669329419344815E-4</v>
          </cell>
        </row>
      </sheetData>
      <sheetData sheetId="21">
        <row r="31">
          <cell r="N31">
            <v>9.0133206400820804E-4</v>
          </cell>
        </row>
        <row r="32">
          <cell r="N32">
            <v>9.1819562070648427E-4</v>
          </cell>
        </row>
        <row r="33">
          <cell r="N33">
            <v>1.1243603172755769E-3</v>
          </cell>
        </row>
        <row r="34">
          <cell r="N34">
            <v>1.1410161377595532E-3</v>
          </cell>
        </row>
        <row r="35">
          <cell r="N35">
            <v>2.7115240946828556E-3</v>
          </cell>
        </row>
        <row r="36">
          <cell r="N36">
            <v>2.8702084597227672E-3</v>
          </cell>
        </row>
        <row r="37">
          <cell r="N37">
            <v>2.7608766466738514E-3</v>
          </cell>
        </row>
        <row r="38">
          <cell r="N38">
            <v>1.0160859767790033E-3</v>
          </cell>
        </row>
      </sheetData>
      <sheetData sheetId="22">
        <row r="30">
          <cell r="J30">
            <v>1.3752370164230932</v>
          </cell>
          <cell r="N30">
            <v>8.3032668769751064E-4</v>
          </cell>
        </row>
        <row r="31">
          <cell r="J31">
            <v>1.4040634864755583</v>
          </cell>
          <cell r="N31">
            <v>9.3256074433866441E-4</v>
          </cell>
        </row>
        <row r="32">
          <cell r="J32">
            <v>1.3885455717331823</v>
          </cell>
          <cell r="N32">
            <v>9.1161032788471816E-4</v>
          </cell>
        </row>
        <row r="33">
          <cell r="J33">
            <v>1.4561646872233376</v>
          </cell>
          <cell r="N33">
            <v>1.0843115562738171E-3</v>
          </cell>
        </row>
        <row r="34">
          <cell r="J34">
            <v>1.6775968268051922</v>
          </cell>
          <cell r="N34">
            <v>1.1442280165304248E-3</v>
          </cell>
        </row>
        <row r="35">
          <cell r="J35">
            <v>2.5164659432325767</v>
          </cell>
          <cell r="N35">
            <v>2.5921249277770083E-3</v>
          </cell>
        </row>
        <row r="36">
          <cell r="J36">
            <v>3.1021152655661228</v>
          </cell>
          <cell r="N36">
            <v>2.7357698095873753E-3</v>
          </cell>
        </row>
        <row r="37">
          <cell r="J37">
            <v>2.252095806615463</v>
          </cell>
          <cell r="N37">
            <v>2.564139391818189E-3</v>
          </cell>
        </row>
        <row r="38">
          <cell r="J38">
            <v>1.5328660970285288</v>
          </cell>
          <cell r="N38">
            <v>1.0118401008626008E-3</v>
          </cell>
        </row>
        <row r="62">
          <cell r="J62">
            <v>1.5703098789991619</v>
          </cell>
          <cell r="N62">
            <v>6.8457453557184628E-4</v>
          </cell>
        </row>
        <row r="63">
          <cell r="J63">
            <v>1.5176272288208679</v>
          </cell>
          <cell r="N63">
            <v>8.4124712055744027E-4</v>
          </cell>
        </row>
        <row r="64">
          <cell r="J64">
            <v>1.6704586196681077</v>
          </cell>
          <cell r="N64">
            <v>7.3970724499572253E-4</v>
          </cell>
        </row>
        <row r="65">
          <cell r="J65">
            <v>1.5854479856132044</v>
          </cell>
          <cell r="N65">
            <v>7.3676722354249131E-4</v>
          </cell>
        </row>
        <row r="66">
          <cell r="J66">
            <v>1.7236396454092284</v>
          </cell>
          <cell r="N66">
            <v>8.9772890517519541E-4</v>
          </cell>
        </row>
        <row r="67">
          <cell r="J67">
            <v>3.2163587060922447</v>
          </cell>
          <cell r="N67">
            <v>1.8428457265292719E-3</v>
          </cell>
        </row>
        <row r="68">
          <cell r="J68">
            <v>3.1886823439465219</v>
          </cell>
          <cell r="N68">
            <v>2.7765586154811514E-3</v>
          </cell>
        </row>
        <row r="69">
          <cell r="J69">
            <v>2.1129504389114926</v>
          </cell>
          <cell r="N69">
            <v>1.9364342122447555E-3</v>
          </cell>
        </row>
        <row r="70">
          <cell r="J70">
            <v>1.7130425705395222</v>
          </cell>
          <cell r="N70">
            <v>8.2741039263371069E-4</v>
          </cell>
        </row>
      </sheetData>
      <sheetData sheetId="23">
        <row r="30">
          <cell r="J30">
            <v>1.4260857472875599</v>
          </cell>
          <cell r="N30">
            <v>8.1871573373866057E-4</v>
          </cell>
        </row>
        <row r="31">
          <cell r="J31">
            <v>1.429041198860888</v>
          </cell>
          <cell r="N31">
            <v>9.4220236387322913E-4</v>
          </cell>
        </row>
        <row r="32">
          <cell r="J32">
            <v>1.4278792565344387</v>
          </cell>
          <cell r="N32">
            <v>9.0189723455263169E-4</v>
          </cell>
        </row>
        <row r="33">
          <cell r="J33">
            <v>1.4464823929414612</v>
          </cell>
          <cell r="N33">
            <v>1.0909432107340969E-3</v>
          </cell>
        </row>
        <row r="34">
          <cell r="J34">
            <v>1.7227171621056006</v>
          </cell>
          <cell r="N34">
            <v>1.0852070778636076E-3</v>
          </cell>
        </row>
        <row r="35">
          <cell r="J35">
            <v>2.4941934048898746</v>
          </cell>
          <cell r="N35">
            <v>2.5997484264987658E-3</v>
          </cell>
        </row>
        <row r="36">
          <cell r="J36">
            <v>3.2124108491835508</v>
          </cell>
          <cell r="N36">
            <v>2.7174596784339381E-3</v>
          </cell>
        </row>
        <row r="37">
          <cell r="J37">
            <v>2.2357068439733481</v>
          </cell>
          <cell r="N37">
            <v>2.5985644954266618E-3</v>
          </cell>
        </row>
        <row r="38">
          <cell r="J38">
            <v>1.5739016621795692</v>
          </cell>
          <cell r="N38">
            <v>1.002935049606966E-3</v>
          </cell>
        </row>
        <row r="62">
          <cell r="J62">
            <v>1.7972717891204204</v>
          </cell>
          <cell r="N62">
            <v>6.0717003140690255E-4</v>
          </cell>
        </row>
        <row r="63">
          <cell r="J63">
            <v>1.5610784379081144</v>
          </cell>
          <cell r="N63">
            <v>7.54904702107952E-4</v>
          </cell>
        </row>
        <row r="64">
          <cell r="J64">
            <v>2.0190491842728187</v>
          </cell>
          <cell r="N64">
            <v>6.6478371097641474E-4</v>
          </cell>
        </row>
        <row r="65">
          <cell r="J65">
            <v>1.601302698429786</v>
          </cell>
          <cell r="N65">
            <v>7.0322086209856024E-4</v>
          </cell>
        </row>
        <row r="66">
          <cell r="J66">
            <v>1.9502826594244609</v>
          </cell>
          <cell r="N66">
            <v>7.040226031872778E-4</v>
          </cell>
        </row>
        <row r="67">
          <cell r="J67">
            <v>3.6680813278468789</v>
          </cell>
          <cell r="N67">
            <v>1.4805219864405114E-3</v>
          </cell>
        </row>
        <row r="68">
          <cell r="J68">
            <v>2.1212005283074209</v>
          </cell>
          <cell r="N68">
            <v>3.0451992971195188E-3</v>
          </cell>
        </row>
        <row r="69">
          <cell r="J69">
            <v>2.0978945829230469</v>
          </cell>
          <cell r="N69">
            <v>1.7400719814452958E-3</v>
          </cell>
        </row>
        <row r="70">
          <cell r="J70">
            <v>1.9235976026342925</v>
          </cell>
          <cell r="N70">
            <v>7.3133043033876645E-4</v>
          </cell>
        </row>
      </sheetData>
      <sheetData sheetId="24">
        <row r="30">
          <cell r="J30">
            <v>1.4140346157707868</v>
          </cell>
          <cell r="N30">
            <v>8.2382322021599811E-4</v>
          </cell>
        </row>
        <row r="31">
          <cell r="J31">
            <v>1.4417160631970305</v>
          </cell>
          <cell r="N31">
            <v>9.5667056330952236E-4</v>
          </cell>
        </row>
        <row r="32">
          <cell r="J32">
            <v>1.4047645868197829</v>
          </cell>
          <cell r="N32">
            <v>8.6091533616534314E-4</v>
          </cell>
        </row>
        <row r="33">
          <cell r="J33">
            <v>1.7647325162372633</v>
          </cell>
          <cell r="N33">
            <v>1.3992748578600148E-3</v>
          </cell>
        </row>
        <row r="34">
          <cell r="J34">
            <v>1.7189864238768218</v>
          </cell>
          <cell r="N34">
            <v>1.0569739211173873E-3</v>
          </cell>
        </row>
        <row r="35">
          <cell r="J35">
            <v>2.8479305887948159</v>
          </cell>
          <cell r="N35">
            <v>2.6099836527093403E-3</v>
          </cell>
        </row>
        <row r="36">
          <cell r="J36">
            <v>2.9021773988018755</v>
          </cell>
          <cell r="N36">
            <v>2.7244727259572157E-3</v>
          </cell>
        </row>
        <row r="37">
          <cell r="J37">
            <v>2.2368369447574206</v>
          </cell>
          <cell r="N37">
            <v>2.6114198369867939E-3</v>
          </cell>
        </row>
        <row r="38">
          <cell r="J38">
            <v>1.6000901828822083</v>
          </cell>
          <cell r="N38">
            <v>1.0190990999945978E-3</v>
          </cell>
        </row>
        <row r="62">
          <cell r="J62">
            <v>1.7860000128954709</v>
          </cell>
          <cell r="N62">
            <v>5.5716934070222201E-4</v>
          </cell>
        </row>
        <row r="63">
          <cell r="J63">
            <v>1.5981611971655543</v>
          </cell>
          <cell r="N63">
            <v>7.2103767611127829E-4</v>
          </cell>
        </row>
        <row r="64">
          <cell r="J64">
            <v>1.9627679587245335</v>
          </cell>
          <cell r="N64">
            <v>5.7465829249008264E-4</v>
          </cell>
        </row>
        <row r="65">
          <cell r="J65">
            <v>1.8391482955175802</v>
          </cell>
          <cell r="N65">
            <v>8.2001126687161242E-4</v>
          </cell>
        </row>
        <row r="66">
          <cell r="J66">
            <v>2.1356570887089701</v>
          </cell>
          <cell r="N66">
            <v>6.7627062459665725E-4</v>
          </cell>
        </row>
        <row r="67">
          <cell r="J67">
            <v>4.5831565700816794</v>
          </cell>
          <cell r="N67">
            <v>1.2625253379340371E-3</v>
          </cell>
        </row>
        <row r="68">
          <cell r="J68">
            <v>2.1878253447037999</v>
          </cell>
          <cell r="N68">
            <v>2.159813463068263E-3</v>
          </cell>
        </row>
        <row r="69">
          <cell r="J69">
            <v>2.1092175003929254</v>
          </cell>
          <cell r="N69">
            <v>1.5607983505768613E-3</v>
          </cell>
        </row>
        <row r="70">
          <cell r="J70">
            <v>1.9767080057393469</v>
          </cell>
          <cell r="N70">
            <v>6.8216764562187933E-4</v>
          </cell>
        </row>
      </sheetData>
      <sheetData sheetId="25">
        <row r="30">
          <cell r="J30">
            <v>1.4326230334031986</v>
          </cell>
          <cell r="N30">
            <v>8.0645423483854863E-4</v>
          </cell>
        </row>
        <row r="31">
          <cell r="J31">
            <v>1.3989421864863096</v>
          </cell>
          <cell r="N31">
            <v>9.521375527575391E-4</v>
          </cell>
        </row>
        <row r="32">
          <cell r="J32">
            <v>1.3665020115181088</v>
          </cell>
          <cell r="N32">
            <v>8.6125025519598591E-4</v>
          </cell>
        </row>
        <row r="33">
          <cell r="J33">
            <v>2.1818670841417913</v>
          </cell>
          <cell r="N33">
            <v>1.7047016962752817E-3</v>
          </cell>
        </row>
        <row r="34">
          <cell r="J34">
            <v>1.7486343638784716</v>
          </cell>
          <cell r="N34">
            <v>1.0754686377146615E-3</v>
          </cell>
        </row>
        <row r="35">
          <cell r="J35">
            <v>3.5213893632477733</v>
          </cell>
          <cell r="N35">
            <v>2.6228413302745112E-3</v>
          </cell>
        </row>
        <row r="36">
          <cell r="J36">
            <v>4.1148943175192416</v>
          </cell>
          <cell r="N36">
            <v>2.6223213976478278E-3</v>
          </cell>
        </row>
        <row r="37">
          <cell r="J37">
            <v>2.3051894495529868</v>
          </cell>
          <cell r="N37">
            <v>2.6326037968095106E-3</v>
          </cell>
        </row>
        <row r="38">
          <cell r="J38">
            <v>1.6392515002805921</v>
          </cell>
          <cell r="N38">
            <v>1.0358520960551409E-3</v>
          </cell>
        </row>
        <row r="62">
          <cell r="J62">
            <v>1.7821910162645709</v>
          </cell>
          <cell r="N62">
            <v>5.5002806068491427E-4</v>
          </cell>
        </row>
        <row r="63">
          <cell r="J63">
            <v>1.5559333554005617</v>
          </cell>
          <cell r="N63">
            <v>6.9647893587658602E-4</v>
          </cell>
        </row>
        <row r="64">
          <cell r="J64">
            <v>1.6655342685784822</v>
          </cell>
          <cell r="N64">
            <v>5.6680225620581637E-4</v>
          </cell>
        </row>
        <row r="65">
          <cell r="J65">
            <v>2.1511211715234189</v>
          </cell>
          <cell r="N65">
            <v>9.8201223924516902E-4</v>
          </cell>
        </row>
        <row r="66">
          <cell r="J66">
            <v>2.1050692997597875</v>
          </cell>
          <cell r="N66">
            <v>7.6216352387876312E-4</v>
          </cell>
        </row>
        <row r="67">
          <cell r="J67">
            <v>4.6789215486046425</v>
          </cell>
          <cell r="N67">
            <v>1.4052887855347408E-3</v>
          </cell>
        </row>
        <row r="68">
          <cell r="J68">
            <v>4.7184601644773236</v>
          </cell>
          <cell r="N68">
            <v>1.9000752243013923E-3</v>
          </cell>
        </row>
        <row r="69">
          <cell r="J69">
            <v>2.5148026532244105</v>
          </cell>
          <cell r="N69">
            <v>1.9035252325051955E-3</v>
          </cell>
        </row>
        <row r="70">
          <cell r="J70">
            <v>1.9334512967260211</v>
          </cell>
          <cell r="N70">
            <v>6.9877331376711881E-4</v>
          </cell>
        </row>
      </sheetData>
      <sheetData sheetId="26">
        <row r="30">
          <cell r="J30">
            <v>1.5044993924207106</v>
          </cell>
          <cell r="N30">
            <v>7.8184594809154687E-4</v>
          </cell>
        </row>
        <row r="31">
          <cell r="J31">
            <v>1.3717970107452642</v>
          </cell>
          <cell r="N31">
            <v>9.5157849893096785E-4</v>
          </cell>
        </row>
        <row r="32">
          <cell r="J32">
            <v>1.3887869613451072</v>
          </cell>
          <cell r="N32">
            <v>8.6614633477111375E-4</v>
          </cell>
        </row>
        <row r="33">
          <cell r="J33">
            <v>2.4933406579567987</v>
          </cell>
          <cell r="N33">
            <v>1.7193913313272621E-3</v>
          </cell>
        </row>
        <row r="34">
          <cell r="J34">
            <v>1.8107103193613117</v>
          </cell>
          <cell r="N34">
            <v>1.0760620707199178E-3</v>
          </cell>
        </row>
        <row r="35">
          <cell r="J35">
            <v>3.8085782584487244</v>
          </cell>
          <cell r="N35">
            <v>2.6034381105420746E-3</v>
          </cell>
        </row>
        <row r="36">
          <cell r="J36">
            <v>7.2527205217943447</v>
          </cell>
          <cell r="N36">
            <v>2.507446281275607E-3</v>
          </cell>
        </row>
        <row r="37">
          <cell r="J37">
            <v>2.3312764937916999</v>
          </cell>
          <cell r="N37">
            <v>2.6912439706064765E-3</v>
          </cell>
        </row>
        <row r="38">
          <cell r="J38">
            <v>1.7082467359817861</v>
          </cell>
          <cell r="N38">
            <v>1.0292968731856109E-3</v>
          </cell>
        </row>
        <row r="62">
          <cell r="J62">
            <v>1.733408504256265</v>
          </cell>
          <cell r="N62">
            <v>5.4555252015286992E-4</v>
          </cell>
        </row>
        <row r="63">
          <cell r="J63">
            <v>1.6032272559495631</v>
          </cell>
          <cell r="N63">
            <v>6.9922856755214719E-4</v>
          </cell>
        </row>
        <row r="64">
          <cell r="J64">
            <v>1.6536835451658414</v>
          </cell>
          <cell r="N64">
            <v>5.6687143619844871E-4</v>
          </cell>
        </row>
        <row r="65">
          <cell r="J65">
            <v>3.4755005328295976</v>
          </cell>
          <cell r="N65">
            <v>8.5476611856891301E-4</v>
          </cell>
        </row>
        <row r="66">
          <cell r="J66">
            <v>1.9665630168677062</v>
          </cell>
          <cell r="N66">
            <v>7.2400277267935058E-4</v>
          </cell>
        </row>
        <row r="67">
          <cell r="J67">
            <v>3.0453060877413138</v>
          </cell>
          <cell r="N67">
            <v>1.3805111312036279E-3</v>
          </cell>
        </row>
        <row r="68">
          <cell r="J68">
            <v>4.9562684667005499</v>
          </cell>
          <cell r="N68">
            <v>1.5411143168607862E-3</v>
          </cell>
        </row>
        <row r="69">
          <cell r="J69">
            <v>2.3601374276887404</v>
          </cell>
          <cell r="N69">
            <v>1.7543412169125955E-3</v>
          </cell>
        </row>
        <row r="70">
          <cell r="J70">
            <v>1.9396452558366144</v>
          </cell>
          <cell r="N70">
            <v>6.7785036390684435E-4</v>
          </cell>
        </row>
      </sheetData>
      <sheetData sheetId="27">
        <row r="30">
          <cell r="J30">
            <v>1.4519204109243695</v>
          </cell>
          <cell r="N30">
            <v>7.9856169169462089E-4</v>
          </cell>
        </row>
        <row r="31">
          <cell r="J31">
            <v>1.3763225364727538</v>
          </cell>
          <cell r="N31">
            <v>9.0318781860657148E-4</v>
          </cell>
        </row>
        <row r="32">
          <cell r="J32">
            <v>1.4290423934019993</v>
          </cell>
          <cell r="N32">
            <v>8.7568816887861629E-4</v>
          </cell>
        </row>
        <row r="33">
          <cell r="J33">
            <v>2.7134201938011224</v>
          </cell>
          <cell r="N33">
            <v>1.7023106565814965E-3</v>
          </cell>
        </row>
        <row r="34">
          <cell r="J34">
            <v>1.9218833936907331</v>
          </cell>
          <cell r="N34">
            <v>1.0590302676164458E-3</v>
          </cell>
        </row>
        <row r="35">
          <cell r="J35">
            <v>3.4325804256365382</v>
          </cell>
          <cell r="N35">
            <v>2.5957948584358148E-3</v>
          </cell>
        </row>
        <row r="36">
          <cell r="J36">
            <v>7.1440256017674963</v>
          </cell>
          <cell r="N36">
            <v>2.5408692985594435E-3</v>
          </cell>
        </row>
        <row r="37">
          <cell r="J37">
            <v>2.3875776309437389</v>
          </cell>
          <cell r="N37">
            <v>2.7024993779043182E-3</v>
          </cell>
        </row>
        <row r="38">
          <cell r="J38">
            <v>1.7103467323462438</v>
          </cell>
          <cell r="N38">
            <v>1.0213772537515451E-3</v>
          </cell>
        </row>
        <row r="62">
          <cell r="J62">
            <v>1.5470501123985965</v>
          </cell>
          <cell r="N62">
            <v>5.2686351684812097E-4</v>
          </cell>
        </row>
        <row r="63">
          <cell r="J63">
            <v>1.8361588998357739</v>
          </cell>
          <cell r="N63">
            <v>6.0834982537738157E-4</v>
          </cell>
        </row>
        <row r="64">
          <cell r="J64">
            <v>1.7350015630417279</v>
          </cell>
          <cell r="N64">
            <v>5.2467949681089191E-4</v>
          </cell>
        </row>
        <row r="65">
          <cell r="J65">
            <v>3.2451743154534891</v>
          </cell>
          <cell r="N65">
            <v>7.4268846857013021E-4</v>
          </cell>
        </row>
        <row r="66">
          <cell r="J66">
            <v>2.283037046375755</v>
          </cell>
          <cell r="N66">
            <v>6.2783691884426413E-4</v>
          </cell>
        </row>
        <row r="67">
          <cell r="J67">
            <v>2.8563531985360968</v>
          </cell>
          <cell r="N67">
            <v>1.0868786410926569E-3</v>
          </cell>
        </row>
        <row r="68">
          <cell r="J68">
            <v>3.7625016825845612</v>
          </cell>
          <cell r="N68">
            <v>1.3754457954734563E-3</v>
          </cell>
        </row>
        <row r="69">
          <cell r="J69">
            <v>2.0933215540194929</v>
          </cell>
          <cell r="N69">
            <v>1.3757500989673747E-3</v>
          </cell>
        </row>
        <row r="70">
          <cell r="J70">
            <v>1.9342081307979448</v>
          </cell>
          <cell r="N70">
            <v>6.0799742835474435E-4</v>
          </cell>
        </row>
      </sheetData>
      <sheetData sheetId="28">
        <row r="30">
          <cell r="J30">
            <v>1.2489273879622322</v>
          </cell>
          <cell r="N30">
            <v>9.2332172904471073E-4</v>
          </cell>
        </row>
        <row r="31">
          <cell r="J31">
            <v>1.2392240136514037</v>
          </cell>
          <cell r="N31">
            <v>8.5511377087817792E-4</v>
          </cell>
        </row>
        <row r="32">
          <cell r="J32">
            <v>1.279071188040938</v>
          </cell>
          <cell r="N32">
            <v>8.9237077009172668E-4</v>
          </cell>
        </row>
        <row r="33">
          <cell r="J33">
            <v>1.866122560166988</v>
          </cell>
          <cell r="N33">
            <v>1.3846423306123194E-3</v>
          </cell>
        </row>
        <row r="34">
          <cell r="J34">
            <v>1.5666006762004323</v>
          </cell>
          <cell r="N34">
            <v>1.0066074918210373E-3</v>
          </cell>
        </row>
        <row r="35">
          <cell r="J35">
            <v>2.1445061215401151</v>
          </cell>
          <cell r="N35">
            <v>1.9180552706990137E-3</v>
          </cell>
        </row>
        <row r="36">
          <cell r="J36">
            <v>2.8423560074865257</v>
          </cell>
          <cell r="N36">
            <v>1.7783634102966751E-3</v>
          </cell>
        </row>
        <row r="37">
          <cell r="J37">
            <v>1.7853903248990939</v>
          </cell>
          <cell r="N37">
            <v>2.094861348158064E-3</v>
          </cell>
        </row>
        <row r="38">
          <cell r="J38">
            <v>1.3903498254833511</v>
          </cell>
          <cell r="N38">
            <v>9.8995761323529422E-4</v>
          </cell>
        </row>
        <row r="62">
          <cell r="J62">
            <v>1.5558950088636625</v>
          </cell>
          <cell r="N62">
            <v>6.7610280030788554E-4</v>
          </cell>
        </row>
        <row r="63">
          <cell r="J63">
            <v>1.6714403322398363</v>
          </cell>
          <cell r="N63">
            <v>5.4139032843415161E-4</v>
          </cell>
        </row>
        <row r="64">
          <cell r="J64">
            <v>1.6566100578852827</v>
          </cell>
          <cell r="N64">
            <v>5.6391027921139049E-4</v>
          </cell>
        </row>
        <row r="65">
          <cell r="J65">
            <v>1.8658681489833069</v>
          </cell>
          <cell r="N65">
            <v>7.8771144238861269E-4</v>
          </cell>
        </row>
        <row r="66">
          <cell r="J66">
            <v>2.053928522049103</v>
          </cell>
          <cell r="N66">
            <v>6.2768636505950229E-4</v>
          </cell>
        </row>
        <row r="67">
          <cell r="J67">
            <v>2.2322271185848073</v>
          </cell>
          <cell r="N67">
            <v>9.3910400337867393E-4</v>
          </cell>
        </row>
        <row r="68">
          <cell r="J68">
            <v>2.5413186717929741</v>
          </cell>
          <cell r="N68">
            <v>1.0122747853494542E-3</v>
          </cell>
        </row>
        <row r="69">
          <cell r="J69">
            <v>1.7561899360019864</v>
          </cell>
          <cell r="N69">
            <v>1.2796374358977449E-3</v>
          </cell>
        </row>
        <row r="70">
          <cell r="J70">
            <v>1.7499580213843988</v>
          </cell>
          <cell r="N70">
            <v>6.3999332970512241E-4</v>
          </cell>
        </row>
      </sheetData>
      <sheetData sheetId="29"/>
      <sheetData sheetId="30"/>
      <sheetData sheetId="3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6" sqref="J26"/>
    </sheetView>
  </sheetViews>
  <sheetFormatPr defaultRowHeight="12.75" x14ac:dyDescent="0.2"/>
  <sheetData>
    <row r="1" spans="1:1" x14ac:dyDescent="0.2">
      <c r="A1" t="s">
        <v>70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50"/>
  <sheetViews>
    <sheetView topLeftCell="T3" workbookViewId="0">
      <selection activeCell="AA7" sqref="AA7"/>
    </sheetView>
  </sheetViews>
  <sheetFormatPr defaultRowHeight="12.75" x14ac:dyDescent="0.2"/>
  <cols>
    <col min="2" max="2" width="13.85546875" bestFit="1" customWidth="1"/>
    <col min="3" max="3" width="10.5703125" bestFit="1" customWidth="1"/>
    <col min="4" max="4" width="21" customWidth="1"/>
    <col min="5" max="5" width="28.5703125" bestFit="1" customWidth="1"/>
    <col min="6" max="6" width="12" style="32" bestFit="1" customWidth="1"/>
    <col min="7" max="7" width="10.42578125" style="32" customWidth="1"/>
    <col min="17" max="17" width="10.28515625" customWidth="1"/>
    <col min="24" max="28" width="12.5703125" customWidth="1"/>
    <col min="38" max="38" width="11.42578125" customWidth="1"/>
  </cols>
  <sheetData>
    <row r="1" spans="2:38" x14ac:dyDescent="0.2">
      <c r="R1" s="16" t="s">
        <v>87</v>
      </c>
    </row>
    <row r="2" spans="2:38" x14ac:dyDescent="0.2">
      <c r="R2" s="16"/>
    </row>
    <row r="3" spans="2:38" x14ac:dyDescent="0.2">
      <c r="R3" s="16"/>
    </row>
    <row r="4" spans="2:38" x14ac:dyDescent="0.2">
      <c r="P4">
        <f>SQRT(1.9/1.5)</f>
        <v>1.1254628677422756</v>
      </c>
    </row>
    <row r="5" spans="2:38" x14ac:dyDescent="0.2">
      <c r="T5" t="s">
        <v>2</v>
      </c>
      <c r="AE5" t="s">
        <v>24</v>
      </c>
    </row>
    <row r="6" spans="2:38" ht="26.25" thickBot="1" x14ac:dyDescent="0.25">
      <c r="B6" s="15" t="s">
        <v>13</v>
      </c>
      <c r="C6" s="15" t="s">
        <v>21</v>
      </c>
      <c r="D6" s="15" t="s">
        <v>22</v>
      </c>
      <c r="E6" s="15" t="s">
        <v>23</v>
      </c>
      <c r="F6" s="33" t="s">
        <v>2</v>
      </c>
      <c r="G6" s="33" t="s">
        <v>24</v>
      </c>
      <c r="P6">
        <f>870/690</f>
        <v>1.2608695652173914</v>
      </c>
      <c r="R6" t="s">
        <v>25</v>
      </c>
      <c r="S6" t="s">
        <v>26</v>
      </c>
      <c r="T6" s="28" t="s">
        <v>27</v>
      </c>
      <c r="U6" s="28" t="s">
        <v>28</v>
      </c>
      <c r="V6" s="28" t="s">
        <v>29</v>
      </c>
      <c r="W6" s="28" t="s">
        <v>51</v>
      </c>
      <c r="X6" s="30" t="s">
        <v>62</v>
      </c>
      <c r="Y6" s="30" t="s">
        <v>66</v>
      </c>
      <c r="Z6" s="30" t="s">
        <v>69</v>
      </c>
      <c r="AA6" s="96" t="s">
        <v>86</v>
      </c>
      <c r="AC6" s="25" t="s">
        <v>25</v>
      </c>
      <c r="AD6" t="s">
        <v>26</v>
      </c>
      <c r="AE6" s="28" t="s">
        <v>27</v>
      </c>
      <c r="AF6" s="28" t="s">
        <v>28</v>
      </c>
      <c r="AG6" s="28" t="s">
        <v>29</v>
      </c>
      <c r="AH6" s="28" t="s">
        <v>51</v>
      </c>
      <c r="AI6" s="28" t="s">
        <v>62</v>
      </c>
      <c r="AJ6" s="28" t="s">
        <v>66</v>
      </c>
      <c r="AK6" s="28" t="s">
        <v>69</v>
      </c>
      <c r="AL6" s="96" t="s">
        <v>86</v>
      </c>
    </row>
    <row r="7" spans="2:38" x14ac:dyDescent="0.2">
      <c r="B7" t="s">
        <v>3</v>
      </c>
      <c r="C7" t="s">
        <v>12</v>
      </c>
      <c r="D7" t="s">
        <v>17</v>
      </c>
      <c r="E7" t="str">
        <f>B7&amp;C7&amp;D7</f>
        <v>NSWAdultQ4 2015-Q3, 2016</v>
      </c>
      <c r="F7" s="34">
        <f>T7</f>
        <v>1.3592722930192671</v>
      </c>
      <c r="G7" s="35">
        <f t="shared" ref="G7:G15" si="0">AE7</f>
        <v>8.3340443346632744E-4</v>
      </c>
      <c r="R7">
        <v>1</v>
      </c>
      <c r="S7" t="s">
        <v>3</v>
      </c>
      <c r="T7" s="95">
        <f>'Summary for Sigtest sheet'!C4</f>
        <v>1.3592722930192671</v>
      </c>
      <c r="U7" s="99">
        <f>'Summary for Sigtest sheet'!D4</f>
        <v>1.3752370164230932</v>
      </c>
      <c r="V7" s="100">
        <f>'Summary for Sigtest sheet'!E4</f>
        <v>1.4260857472875599</v>
      </c>
      <c r="W7" s="101">
        <f>'Summary for Sigtest sheet'!F4</f>
        <v>1.4140346157707868</v>
      </c>
      <c r="X7" s="102">
        <f>'Summary for Sigtest sheet'!G4</f>
        <v>1.4326230334031986</v>
      </c>
      <c r="Y7" s="103">
        <f>'Summary for Sigtest sheet'!H4</f>
        <v>1.5044993924207106</v>
      </c>
      <c r="Z7" s="104">
        <f>'Summary for Sigtest sheet'!I4</f>
        <v>1.4519204109243695</v>
      </c>
      <c r="AA7" s="98">
        <f>'Summary for Sigtest sheet'!J4</f>
        <v>1.2489273879622322</v>
      </c>
      <c r="AC7">
        <v>1</v>
      </c>
      <c r="AD7" t="s">
        <v>3</v>
      </c>
      <c r="AE7" s="109">
        <f>'Summary for Sigtest sheet'!N4</f>
        <v>8.3340443346632744E-4</v>
      </c>
      <c r="AF7" s="110">
        <f>'Summary for Sigtest sheet'!O4</f>
        <v>8.3032668769751064E-4</v>
      </c>
      <c r="AG7" s="111">
        <f>'Summary for Sigtest sheet'!P4</f>
        <v>8.1871573373866057E-4</v>
      </c>
      <c r="AH7" s="112">
        <f>'Summary for Sigtest sheet'!Q4</f>
        <v>8.2382322021599811E-4</v>
      </c>
      <c r="AI7" s="113">
        <f>'Summary for Sigtest sheet'!R4</f>
        <v>8.0645423483854863E-4</v>
      </c>
      <c r="AJ7" s="114">
        <f>'Summary for Sigtest sheet'!S4</f>
        <v>7.8184594809154687E-4</v>
      </c>
      <c r="AK7" s="115">
        <f>'Summary for Sigtest sheet'!T4</f>
        <v>7.9856169169462089E-4</v>
      </c>
      <c r="AL7" s="116">
        <f>'Summary for Sigtest sheet'!U4</f>
        <v>9.2332172904471073E-4</v>
      </c>
    </row>
    <row r="8" spans="2:38" x14ac:dyDescent="0.2">
      <c r="B8" t="s">
        <v>4</v>
      </c>
      <c r="C8" t="s">
        <v>12</v>
      </c>
      <c r="D8" t="s">
        <v>17</v>
      </c>
      <c r="E8" t="str">
        <f t="shared" ref="E8:E105" si="1">B8&amp;C8&amp;D8</f>
        <v>VicAdultQ4 2015-Q3, 2016</v>
      </c>
      <c r="F8" s="36">
        <f t="shared" ref="F8:F15" si="2">T8</f>
        <v>1.43584650463162</v>
      </c>
      <c r="G8" s="37">
        <f t="shared" si="0"/>
        <v>9.0133206400820804E-4</v>
      </c>
      <c r="R8">
        <v>2</v>
      </c>
      <c r="S8" t="s">
        <v>4</v>
      </c>
      <c r="T8" s="95">
        <v>1.43584650463162</v>
      </c>
      <c r="U8" s="99">
        <v>1.4040634864755583</v>
      </c>
      <c r="V8" s="100">
        <v>1.429041198860888</v>
      </c>
      <c r="W8" s="101">
        <v>1.4417160631970305</v>
      </c>
      <c r="X8" s="102">
        <v>1.3989421864863096</v>
      </c>
      <c r="Y8" s="103">
        <v>1.3717970107452642</v>
      </c>
      <c r="Z8" s="104">
        <v>1.3763225364727538</v>
      </c>
      <c r="AA8" s="98">
        <f>'Summary for Sigtest sheet'!J5</f>
        <v>1.2392240136514037</v>
      </c>
      <c r="AC8">
        <v>2</v>
      </c>
      <c r="AD8" t="s">
        <v>4</v>
      </c>
      <c r="AE8" s="109">
        <f>'Summary for Sigtest sheet'!N5</f>
        <v>9.0133206400820804E-4</v>
      </c>
      <c r="AF8" s="110">
        <f>'Summary for Sigtest sheet'!O5</f>
        <v>9.3256074433866441E-4</v>
      </c>
      <c r="AG8" s="111">
        <f>'Summary for Sigtest sheet'!P5</f>
        <v>9.4220236387322913E-4</v>
      </c>
      <c r="AH8" s="112">
        <f>'Summary for Sigtest sheet'!Q5</f>
        <v>9.5667056330952236E-4</v>
      </c>
      <c r="AI8" s="113">
        <f>'Summary for Sigtest sheet'!R5</f>
        <v>9.521375527575391E-4</v>
      </c>
      <c r="AJ8" s="114">
        <f>'Summary for Sigtest sheet'!S5</f>
        <v>9.5157849893096785E-4</v>
      </c>
      <c r="AK8" s="115">
        <f>'Summary for Sigtest sheet'!T5</f>
        <v>9.0318781860657148E-4</v>
      </c>
      <c r="AL8" s="116">
        <f>'Summary for Sigtest sheet'!U5</f>
        <v>8.5511377087817792E-4</v>
      </c>
    </row>
    <row r="9" spans="2:38" x14ac:dyDescent="0.2">
      <c r="B9" t="s">
        <v>5</v>
      </c>
      <c r="C9" t="s">
        <v>12</v>
      </c>
      <c r="D9" t="s">
        <v>17</v>
      </c>
      <c r="E9" t="str">
        <f t="shared" si="1"/>
        <v>QldAdultQ4 2015-Q3, 2016</v>
      </c>
      <c r="F9" s="36">
        <f t="shared" si="2"/>
        <v>1.3640377042163001</v>
      </c>
      <c r="G9" s="37">
        <f t="shared" si="0"/>
        <v>9.1819562070648427E-4</v>
      </c>
      <c r="R9">
        <v>3</v>
      </c>
      <c r="S9" t="s">
        <v>5</v>
      </c>
      <c r="T9" s="95">
        <v>1.3640377042163001</v>
      </c>
      <c r="U9" s="99">
        <v>1.3885455717331823</v>
      </c>
      <c r="V9" s="100">
        <v>1.4278792565344387</v>
      </c>
      <c r="W9" s="101">
        <v>1.4047645868197829</v>
      </c>
      <c r="X9" s="102">
        <v>1.3665020115181088</v>
      </c>
      <c r="Y9" s="103">
        <v>1.3887869613451072</v>
      </c>
      <c r="Z9" s="104">
        <v>1.4290423934019993</v>
      </c>
      <c r="AA9" s="98">
        <f>'Summary for Sigtest sheet'!J6</f>
        <v>1.279071188040938</v>
      </c>
      <c r="AC9">
        <v>3</v>
      </c>
      <c r="AD9" t="s">
        <v>5</v>
      </c>
      <c r="AE9" s="109">
        <f>'Summary for Sigtest sheet'!N6</f>
        <v>9.1819562070648427E-4</v>
      </c>
      <c r="AF9" s="110">
        <f>'Summary for Sigtest sheet'!O6</f>
        <v>9.1161032788471816E-4</v>
      </c>
      <c r="AG9" s="111">
        <f>'Summary for Sigtest sheet'!P6</f>
        <v>9.0189723455263169E-4</v>
      </c>
      <c r="AH9" s="112">
        <f>'Summary for Sigtest sheet'!Q6</f>
        <v>8.6091533616534314E-4</v>
      </c>
      <c r="AI9" s="113">
        <f>'Summary for Sigtest sheet'!R6</f>
        <v>8.6125025519598591E-4</v>
      </c>
      <c r="AJ9" s="114">
        <f>'Summary for Sigtest sheet'!S6</f>
        <v>8.6614633477111375E-4</v>
      </c>
      <c r="AK9" s="115">
        <f>'Summary for Sigtest sheet'!T6</f>
        <v>8.7568816887861629E-4</v>
      </c>
      <c r="AL9" s="116">
        <f>'Summary for Sigtest sheet'!U6</f>
        <v>8.9237077009172668E-4</v>
      </c>
    </row>
    <row r="10" spans="2:38" x14ac:dyDescent="0.2">
      <c r="B10" t="s">
        <v>6</v>
      </c>
      <c r="C10" t="s">
        <v>12</v>
      </c>
      <c r="D10" t="s">
        <v>17</v>
      </c>
      <c r="E10" t="str">
        <f t="shared" si="1"/>
        <v>SAAdultQ4 2015-Q3, 2016</v>
      </c>
      <c r="F10" s="36">
        <f t="shared" si="2"/>
        <v>1.4768783403914767</v>
      </c>
      <c r="G10" s="37">
        <f t="shared" si="0"/>
        <v>1.1243603172755769E-3</v>
      </c>
      <c r="R10">
        <v>4</v>
      </c>
      <c r="S10" t="s">
        <v>6</v>
      </c>
      <c r="T10" s="95">
        <v>1.4768783403914767</v>
      </c>
      <c r="U10" s="99">
        <v>1.4561646872233376</v>
      </c>
      <c r="V10" s="100">
        <v>1.4464823929414612</v>
      </c>
      <c r="W10" s="101">
        <v>1.7647325162372633</v>
      </c>
      <c r="X10" s="102">
        <v>2.1818670841417913</v>
      </c>
      <c r="Y10" s="103">
        <v>2.4933406579567987</v>
      </c>
      <c r="Z10" s="104">
        <v>2.7134201938011224</v>
      </c>
      <c r="AA10" s="98">
        <f>'Summary for Sigtest sheet'!J7</f>
        <v>1.866122560166988</v>
      </c>
      <c r="AC10">
        <v>4</v>
      </c>
      <c r="AD10" t="s">
        <v>6</v>
      </c>
      <c r="AE10" s="109">
        <f>'Summary for Sigtest sheet'!N7</f>
        <v>1.1243603172755769E-3</v>
      </c>
      <c r="AF10" s="110">
        <f>'Summary for Sigtest sheet'!O7</f>
        <v>1.0843115562738171E-3</v>
      </c>
      <c r="AG10" s="111">
        <f>'Summary for Sigtest sheet'!P7</f>
        <v>1.0909432107340969E-3</v>
      </c>
      <c r="AH10" s="112">
        <f>'Summary for Sigtest sheet'!Q7</f>
        <v>1.3992748578600148E-3</v>
      </c>
      <c r="AI10" s="113">
        <f>'Summary for Sigtest sheet'!R7</f>
        <v>1.7047016962752817E-3</v>
      </c>
      <c r="AJ10" s="114">
        <f>'Summary for Sigtest sheet'!S7</f>
        <v>1.7193913313272621E-3</v>
      </c>
      <c r="AK10" s="115">
        <f>'Summary for Sigtest sheet'!T7</f>
        <v>1.7023106565814965E-3</v>
      </c>
      <c r="AL10" s="116">
        <f>'Summary for Sigtest sheet'!U7</f>
        <v>1.3846423306123194E-3</v>
      </c>
    </row>
    <row r="11" spans="2:38" x14ac:dyDescent="0.2">
      <c r="B11" t="s">
        <v>7</v>
      </c>
      <c r="C11" t="s">
        <v>12</v>
      </c>
      <c r="D11" t="s">
        <v>17</v>
      </c>
      <c r="E11" t="str">
        <f t="shared" si="1"/>
        <v>WAAdultQ4 2015-Q3, 2016</v>
      </c>
      <c r="F11" s="36">
        <f t="shared" si="2"/>
        <v>1.6122710058141834</v>
      </c>
      <c r="G11" s="37">
        <f t="shared" si="0"/>
        <v>1.1410161377595532E-3</v>
      </c>
      <c r="R11">
        <v>5</v>
      </c>
      <c r="S11" t="s">
        <v>7</v>
      </c>
      <c r="T11" s="95">
        <v>1.6122710058141834</v>
      </c>
      <c r="U11" s="99">
        <v>1.6775968268051922</v>
      </c>
      <c r="V11" s="100">
        <v>1.7227171621056006</v>
      </c>
      <c r="W11" s="101">
        <v>1.7189864238768218</v>
      </c>
      <c r="X11" s="102">
        <v>1.7486343638784716</v>
      </c>
      <c r="Y11" s="103">
        <v>1.8107103193613117</v>
      </c>
      <c r="Z11" s="104">
        <v>1.9218833936907331</v>
      </c>
      <c r="AA11" s="98">
        <f>'Summary for Sigtest sheet'!J8</f>
        <v>1.5666006762004323</v>
      </c>
      <c r="AC11">
        <v>5</v>
      </c>
      <c r="AD11" t="s">
        <v>7</v>
      </c>
      <c r="AE11" s="109">
        <f>'Summary for Sigtest sheet'!N8</f>
        <v>1.1410161377595532E-3</v>
      </c>
      <c r="AF11" s="110">
        <f>'Summary for Sigtest sheet'!O8</f>
        <v>1.1442280165304248E-3</v>
      </c>
      <c r="AG11" s="111">
        <f>'Summary for Sigtest sheet'!P8</f>
        <v>1.0852070778636076E-3</v>
      </c>
      <c r="AH11" s="112">
        <f>'Summary for Sigtest sheet'!Q8</f>
        <v>1.0569739211173873E-3</v>
      </c>
      <c r="AI11" s="113">
        <f>'Summary for Sigtest sheet'!R8</f>
        <v>1.0754686377146615E-3</v>
      </c>
      <c r="AJ11" s="114">
        <f>'Summary for Sigtest sheet'!S8</f>
        <v>1.0760620707199178E-3</v>
      </c>
      <c r="AK11" s="115">
        <f>'Summary for Sigtest sheet'!T8</f>
        <v>1.0590302676164458E-3</v>
      </c>
      <c r="AL11" s="116">
        <f>'Summary for Sigtest sheet'!U8</f>
        <v>1.0066074918210373E-3</v>
      </c>
    </row>
    <row r="12" spans="2:38" x14ac:dyDescent="0.2">
      <c r="B12" t="s">
        <v>8</v>
      </c>
      <c r="C12" t="s">
        <v>12</v>
      </c>
      <c r="D12" t="s">
        <v>17</v>
      </c>
      <c r="E12" t="str">
        <f t="shared" si="1"/>
        <v>TasAdultQ4 2015-Q3, 2016</v>
      </c>
      <c r="F12" s="36">
        <f t="shared" si="2"/>
        <v>2.6681746332879275</v>
      </c>
      <c r="G12" s="37">
        <f t="shared" si="0"/>
        <v>2.7115240946828556E-3</v>
      </c>
      <c r="R12">
        <v>6</v>
      </c>
      <c r="S12" t="s">
        <v>8</v>
      </c>
      <c r="T12" s="95">
        <v>2.6681746332879275</v>
      </c>
      <c r="U12" s="99">
        <v>2.5164659432325767</v>
      </c>
      <c r="V12" s="100">
        <v>2.4941934048898746</v>
      </c>
      <c r="W12" s="101">
        <v>2.8479305887948159</v>
      </c>
      <c r="X12" s="102">
        <v>3.5213893632477733</v>
      </c>
      <c r="Y12" s="103">
        <v>3.8085782584487244</v>
      </c>
      <c r="Z12" s="104">
        <v>3.4325804256365382</v>
      </c>
      <c r="AA12" s="98">
        <f>'Summary for Sigtest sheet'!J9</f>
        <v>2.1445061215401151</v>
      </c>
      <c r="AC12">
        <v>6</v>
      </c>
      <c r="AD12" t="s">
        <v>8</v>
      </c>
      <c r="AE12" s="109">
        <f>'Summary for Sigtest sheet'!N9</f>
        <v>2.7115240946828556E-3</v>
      </c>
      <c r="AF12" s="110">
        <f>'Summary for Sigtest sheet'!O9</f>
        <v>2.5921249277770083E-3</v>
      </c>
      <c r="AG12" s="111">
        <f>'Summary for Sigtest sheet'!P9</f>
        <v>2.5997484264987658E-3</v>
      </c>
      <c r="AH12" s="112">
        <f>'Summary for Sigtest sheet'!Q9</f>
        <v>2.6099836527093403E-3</v>
      </c>
      <c r="AI12" s="113">
        <f>'Summary for Sigtest sheet'!R9</f>
        <v>2.6228413302745112E-3</v>
      </c>
      <c r="AJ12" s="114">
        <f>'Summary for Sigtest sheet'!S9</f>
        <v>2.6034381105420746E-3</v>
      </c>
      <c r="AK12" s="115">
        <f>'Summary for Sigtest sheet'!T9</f>
        <v>2.5957948584358148E-3</v>
      </c>
      <c r="AL12" s="116">
        <f>'Summary for Sigtest sheet'!U9</f>
        <v>1.9180552706990137E-3</v>
      </c>
    </row>
    <row r="13" spans="2:38" x14ac:dyDescent="0.2">
      <c r="B13" t="s">
        <v>9</v>
      </c>
      <c r="C13" t="s">
        <v>12</v>
      </c>
      <c r="D13" t="s">
        <v>17</v>
      </c>
      <c r="E13" t="str">
        <f t="shared" si="1"/>
        <v>NTAdultQ4 2015-Q3, 2016</v>
      </c>
      <c r="F13" s="36">
        <f t="shared" si="2"/>
        <v>2.8055634354363752</v>
      </c>
      <c r="G13" s="37">
        <f t="shared" si="0"/>
        <v>2.8702084597227672E-3</v>
      </c>
      <c r="R13">
        <v>7</v>
      </c>
      <c r="S13" t="s">
        <v>9</v>
      </c>
      <c r="T13" s="95">
        <v>2.8055634354363752</v>
      </c>
      <c r="U13" s="99">
        <v>3.1021152655661228</v>
      </c>
      <c r="V13" s="100">
        <v>3.2124108491835508</v>
      </c>
      <c r="W13" s="101">
        <v>2.9021773988018755</v>
      </c>
      <c r="X13" s="102">
        <v>4.1148943175192416</v>
      </c>
      <c r="Y13" s="103">
        <v>7.2527205217943447</v>
      </c>
      <c r="Z13" s="104">
        <v>7.1440256017674963</v>
      </c>
      <c r="AA13" s="98">
        <f>'Summary for Sigtest sheet'!J10</f>
        <v>2.8423560074865257</v>
      </c>
      <c r="AC13">
        <v>7</v>
      </c>
      <c r="AD13" t="s">
        <v>9</v>
      </c>
      <c r="AE13" s="109">
        <f>'Summary for Sigtest sheet'!N10</f>
        <v>2.8702084597227672E-3</v>
      </c>
      <c r="AF13" s="110">
        <f>'Summary for Sigtest sheet'!O10</f>
        <v>2.7357698095873753E-3</v>
      </c>
      <c r="AG13" s="111">
        <f>'Summary for Sigtest sheet'!P10</f>
        <v>2.7174596784339381E-3</v>
      </c>
      <c r="AH13" s="112">
        <f>'Summary for Sigtest sheet'!Q10</f>
        <v>2.7244727259572157E-3</v>
      </c>
      <c r="AI13" s="113">
        <f>'Summary for Sigtest sheet'!R10</f>
        <v>2.6223213976478278E-3</v>
      </c>
      <c r="AJ13" s="114">
        <f>'Summary for Sigtest sheet'!S10</f>
        <v>2.507446281275607E-3</v>
      </c>
      <c r="AK13" s="115">
        <f>'Summary for Sigtest sheet'!T10</f>
        <v>2.5408692985594435E-3</v>
      </c>
      <c r="AL13" s="116">
        <f>'Summary for Sigtest sheet'!U10</f>
        <v>1.7783634102966751E-3</v>
      </c>
    </row>
    <row r="14" spans="2:38" x14ac:dyDescent="0.2">
      <c r="B14" t="s">
        <v>10</v>
      </c>
      <c r="C14" t="s">
        <v>12</v>
      </c>
      <c r="D14" t="s">
        <v>17</v>
      </c>
      <c r="E14" t="str">
        <f t="shared" si="1"/>
        <v>ACTAdultQ4 2015-Q3, 2016</v>
      </c>
      <c r="F14" s="36">
        <f t="shared" si="2"/>
        <v>2.1314261245417905</v>
      </c>
      <c r="G14" s="37">
        <f t="shared" si="0"/>
        <v>2.7608766466738514E-3</v>
      </c>
      <c r="R14">
        <v>8</v>
      </c>
      <c r="S14" t="s">
        <v>10</v>
      </c>
      <c r="T14" s="95">
        <v>2.1314261245417905</v>
      </c>
      <c r="U14" s="99">
        <v>2.252095806615463</v>
      </c>
      <c r="V14" s="100">
        <v>2.2357068439733481</v>
      </c>
      <c r="W14" s="101">
        <v>2.2368369447574206</v>
      </c>
      <c r="X14" s="102">
        <v>2.3051894495529868</v>
      </c>
      <c r="Y14" s="103">
        <v>2.3312764937916999</v>
      </c>
      <c r="Z14" s="104">
        <v>2.3875776309437389</v>
      </c>
      <c r="AA14" s="98">
        <f>'Summary for Sigtest sheet'!J11</f>
        <v>1.7853903248990939</v>
      </c>
      <c r="AC14">
        <v>8</v>
      </c>
      <c r="AD14" t="s">
        <v>10</v>
      </c>
      <c r="AE14" s="109">
        <f>'Summary for Sigtest sheet'!N11</f>
        <v>2.7608766466738514E-3</v>
      </c>
      <c r="AF14" s="110">
        <f>'Summary for Sigtest sheet'!O11</f>
        <v>2.564139391818189E-3</v>
      </c>
      <c r="AG14" s="111">
        <f>'Summary for Sigtest sheet'!P11</f>
        <v>2.5985644954266618E-3</v>
      </c>
      <c r="AH14" s="112">
        <f>'Summary for Sigtest sheet'!Q11</f>
        <v>2.6114198369867939E-3</v>
      </c>
      <c r="AI14" s="113">
        <f>'Summary for Sigtest sheet'!R11</f>
        <v>2.6326037968095106E-3</v>
      </c>
      <c r="AJ14" s="114">
        <f>'Summary for Sigtest sheet'!S11</f>
        <v>2.6912439706064765E-3</v>
      </c>
      <c r="AK14" s="115">
        <f>'Summary for Sigtest sheet'!T11</f>
        <v>2.7024993779043182E-3</v>
      </c>
      <c r="AL14" s="116">
        <f>'Summary for Sigtest sheet'!U11</f>
        <v>2.094861348158064E-3</v>
      </c>
    </row>
    <row r="15" spans="2:38" ht="13.5" thickBot="1" x14ac:dyDescent="0.25">
      <c r="B15" t="s">
        <v>16</v>
      </c>
      <c r="C15" t="s">
        <v>12</v>
      </c>
      <c r="D15" t="s">
        <v>17</v>
      </c>
      <c r="E15" t="str">
        <f t="shared" si="1"/>
        <v>TotalAdultQ4 2015-Q3, 2016</v>
      </c>
      <c r="F15" s="36">
        <f t="shared" si="2"/>
        <v>1.5343222516023034</v>
      </c>
      <c r="G15" s="37">
        <f t="shared" si="0"/>
        <v>1.0160859767790033E-3</v>
      </c>
      <c r="R15" t="s">
        <v>30</v>
      </c>
      <c r="T15" s="95">
        <v>1.5343222516023034</v>
      </c>
      <c r="U15" s="99">
        <v>1.5328660970285288</v>
      </c>
      <c r="V15" s="100">
        <v>1.5739016621795692</v>
      </c>
      <c r="W15" s="101">
        <v>1.6000901828822083</v>
      </c>
      <c r="X15" s="102">
        <v>1.6392515002805921</v>
      </c>
      <c r="Y15" s="103">
        <v>1.7082467359817861</v>
      </c>
      <c r="Z15" s="104">
        <v>1.7103467323462438</v>
      </c>
      <c r="AA15" s="98">
        <f>'Summary for Sigtest sheet'!J12</f>
        <v>1.3903498254833511</v>
      </c>
      <c r="AC15" t="s">
        <v>30</v>
      </c>
      <c r="AE15" s="109">
        <f>'Summary for Sigtest sheet'!N12</f>
        <v>1.0160859767790033E-3</v>
      </c>
      <c r="AF15" s="110">
        <f>'Summary for Sigtest sheet'!O12</f>
        <v>1.0118401008626008E-3</v>
      </c>
      <c r="AG15" s="111">
        <f>'Summary for Sigtest sheet'!P12</f>
        <v>1.002935049606966E-3</v>
      </c>
      <c r="AH15" s="112">
        <f>'Summary for Sigtest sheet'!Q12</f>
        <v>1.0190990999945978E-3</v>
      </c>
      <c r="AI15" s="113">
        <f>'Summary for Sigtest sheet'!R12</f>
        <v>1.0358520960551409E-3</v>
      </c>
      <c r="AJ15" s="114">
        <f>'Summary for Sigtest sheet'!S12</f>
        <v>1.0292968731856109E-3</v>
      </c>
      <c r="AK15" s="115">
        <f>'Summary for Sigtest sheet'!T12</f>
        <v>1.0213772537515451E-3</v>
      </c>
      <c r="AL15" s="116">
        <f>'Summary for Sigtest sheet'!U12</f>
        <v>9.8995761323529422E-4</v>
      </c>
    </row>
    <row r="16" spans="2:38" x14ac:dyDescent="0.2">
      <c r="B16" t="s">
        <v>3</v>
      </c>
      <c r="C16" t="s">
        <v>12</v>
      </c>
      <c r="D16" t="s">
        <v>14</v>
      </c>
      <c r="E16" t="str">
        <f t="shared" si="1"/>
        <v>NSWAdultCalendar year 2016</v>
      </c>
      <c r="F16" s="38">
        <f>U7</f>
        <v>1.3752370164230932</v>
      </c>
      <c r="G16" s="39">
        <f>AF7</f>
        <v>8.3032668769751064E-4</v>
      </c>
      <c r="AA16" s="3"/>
      <c r="AE16" s="108"/>
      <c r="AF16" s="108"/>
      <c r="AG16" s="108"/>
      <c r="AH16" s="108"/>
      <c r="AI16" s="108"/>
      <c r="AJ16" s="108"/>
      <c r="AK16" s="108"/>
      <c r="AL16" s="108"/>
    </row>
    <row r="17" spans="2:38" x14ac:dyDescent="0.2">
      <c r="B17" t="s">
        <v>4</v>
      </c>
      <c r="C17" t="s">
        <v>12</v>
      </c>
      <c r="D17" t="s">
        <v>14</v>
      </c>
      <c r="E17" t="str">
        <f t="shared" si="1"/>
        <v>VicAdultCalendar year 2016</v>
      </c>
      <c r="F17" s="40">
        <f t="shared" ref="F17:F24" si="3">U8</f>
        <v>1.4040634864755583</v>
      </c>
      <c r="G17" s="41">
        <f t="shared" ref="G17:G24" si="4">AG8</f>
        <v>9.4220236387322913E-4</v>
      </c>
    </row>
    <row r="18" spans="2:38" x14ac:dyDescent="0.2">
      <c r="B18" t="s">
        <v>5</v>
      </c>
      <c r="C18" t="s">
        <v>12</v>
      </c>
      <c r="D18" t="s">
        <v>14</v>
      </c>
      <c r="E18" t="str">
        <f t="shared" si="1"/>
        <v>QldAdultCalendar year 2016</v>
      </c>
      <c r="F18" s="40">
        <f t="shared" si="3"/>
        <v>1.3885455717331823</v>
      </c>
      <c r="G18" s="41">
        <f t="shared" si="4"/>
        <v>9.0189723455263169E-4</v>
      </c>
      <c r="R18" t="s">
        <v>31</v>
      </c>
      <c r="S18" t="s">
        <v>11</v>
      </c>
      <c r="AC18" t="s">
        <v>31</v>
      </c>
      <c r="AD18" t="s">
        <v>11</v>
      </c>
    </row>
    <row r="19" spans="2:38" ht="13.15" customHeight="1" x14ac:dyDescent="0.2">
      <c r="B19" t="s">
        <v>6</v>
      </c>
      <c r="C19" t="s">
        <v>12</v>
      </c>
      <c r="D19" t="s">
        <v>14</v>
      </c>
      <c r="E19" t="str">
        <f t="shared" si="1"/>
        <v>SAAdultCalendar year 2016</v>
      </c>
      <c r="F19" s="40">
        <f t="shared" si="3"/>
        <v>1.4561646872233376</v>
      </c>
      <c r="G19" s="41">
        <f t="shared" si="4"/>
        <v>1.0909432107340969E-3</v>
      </c>
      <c r="R19" t="s">
        <v>25</v>
      </c>
      <c r="S19" t="s">
        <v>26</v>
      </c>
      <c r="T19" s="28" t="s">
        <v>27</v>
      </c>
      <c r="U19" s="28" t="s">
        <v>28</v>
      </c>
      <c r="V19" s="28" t="s">
        <v>29</v>
      </c>
      <c r="W19" s="28" t="s">
        <v>51</v>
      </c>
      <c r="X19" s="28" t="s">
        <v>62</v>
      </c>
      <c r="Y19" s="28" t="s">
        <v>66</v>
      </c>
      <c r="Z19" s="2" t="s">
        <v>69</v>
      </c>
      <c r="AA19" s="96" t="s">
        <v>86</v>
      </c>
      <c r="AC19" s="25" t="s">
        <v>25</v>
      </c>
      <c r="AD19" t="s">
        <v>26</v>
      </c>
      <c r="AE19" s="28" t="s">
        <v>27</v>
      </c>
      <c r="AF19" s="28" t="s">
        <v>28</v>
      </c>
      <c r="AG19" s="28" t="s">
        <v>29</v>
      </c>
      <c r="AH19" s="28" t="s">
        <v>51</v>
      </c>
      <c r="AI19" s="28" t="s">
        <v>62</v>
      </c>
      <c r="AJ19" s="30" t="s">
        <v>66</v>
      </c>
      <c r="AK19" s="28" t="s">
        <v>69</v>
      </c>
      <c r="AL19" s="96" t="s">
        <v>86</v>
      </c>
    </row>
    <row r="20" spans="2:38" x14ac:dyDescent="0.2">
      <c r="B20" t="s">
        <v>7</v>
      </c>
      <c r="C20" t="s">
        <v>12</v>
      </c>
      <c r="D20" t="s">
        <v>14</v>
      </c>
      <c r="E20" t="str">
        <f t="shared" si="1"/>
        <v>WAAdultCalendar year 2016</v>
      </c>
      <c r="F20" s="40">
        <f t="shared" si="3"/>
        <v>1.6775968268051922</v>
      </c>
      <c r="G20" s="41">
        <f t="shared" si="4"/>
        <v>1.0852070778636076E-3</v>
      </c>
      <c r="R20">
        <v>1</v>
      </c>
      <c r="S20" t="s">
        <v>3</v>
      </c>
      <c r="T20" s="97">
        <f>'Summary for Sigtest sheet'!C17</f>
        <v>1.6515469326153915</v>
      </c>
      <c r="U20" s="105">
        <f>'Summary for Sigtest sheet'!D17</f>
        <v>1.5703098789991619</v>
      </c>
      <c r="V20" s="106">
        <f>'Summary for Sigtest sheet'!E17</f>
        <v>1.7972717891204204</v>
      </c>
      <c r="W20" s="107">
        <f>'Summary for Sigtest sheet'!F17</f>
        <v>1.7860000128954709</v>
      </c>
      <c r="X20" s="102">
        <f>'Summary for Sigtest sheet'!G17</f>
        <v>1.7821910162645709</v>
      </c>
      <c r="Y20" s="103">
        <f>'Summary for Sigtest sheet'!H17</f>
        <v>1.733408504256265</v>
      </c>
      <c r="Z20" s="104">
        <f>'Summary for Sigtest sheet'!I17</f>
        <v>1.5470501123985965</v>
      </c>
      <c r="AA20" s="98">
        <f>'Summary for Sigtest sheet'!J17</f>
        <v>1.5558950088636625</v>
      </c>
      <c r="AC20">
        <v>1</v>
      </c>
      <c r="AD20" t="s">
        <v>3</v>
      </c>
      <c r="AE20" s="109">
        <f>'Summary for Sigtest sheet'!N17</f>
        <v>6.8508900770204218E-4</v>
      </c>
      <c r="AF20" s="110">
        <f>'Summary for Sigtest sheet'!O17</f>
        <v>6.8457453557184628E-4</v>
      </c>
      <c r="AG20" s="111">
        <f>'Summary for Sigtest sheet'!P17</f>
        <v>6.0717003140690255E-4</v>
      </c>
      <c r="AH20" s="112">
        <f>'Summary for Sigtest sheet'!Q17</f>
        <v>5.5716934070222201E-4</v>
      </c>
      <c r="AI20" s="113">
        <f>'Summary for Sigtest sheet'!R17</f>
        <v>5.5002806068491427E-4</v>
      </c>
      <c r="AJ20" s="114">
        <f>'Summary for Sigtest sheet'!S17</f>
        <v>5.4555252015286992E-4</v>
      </c>
      <c r="AK20" s="115">
        <f>'Summary for Sigtest sheet'!T17</f>
        <v>5.2686351684812097E-4</v>
      </c>
      <c r="AL20" s="116">
        <f>'Summary for Sigtest sheet'!U17</f>
        <v>6.7610280030788554E-4</v>
      </c>
    </row>
    <row r="21" spans="2:38" x14ac:dyDescent="0.2">
      <c r="B21" t="s">
        <v>8</v>
      </c>
      <c r="C21" t="s">
        <v>12</v>
      </c>
      <c r="D21" t="s">
        <v>14</v>
      </c>
      <c r="E21" t="str">
        <f t="shared" si="1"/>
        <v>TasAdultCalendar year 2016</v>
      </c>
      <c r="F21" s="40">
        <f t="shared" si="3"/>
        <v>2.5164659432325767</v>
      </c>
      <c r="G21" s="41">
        <f t="shared" si="4"/>
        <v>2.5997484264987658E-3</v>
      </c>
      <c r="R21">
        <v>2</v>
      </c>
      <c r="S21" t="s">
        <v>4</v>
      </c>
      <c r="T21" s="97">
        <f>'Summary for Sigtest sheet'!C18</f>
        <v>1.5188677816135865</v>
      </c>
      <c r="U21" s="105">
        <f>'Summary for Sigtest sheet'!D18</f>
        <v>1.5176272288208679</v>
      </c>
      <c r="V21" s="106">
        <f>'Summary for Sigtest sheet'!E18</f>
        <v>1.5610784379081144</v>
      </c>
      <c r="W21" s="107">
        <f>'Summary for Sigtest sheet'!F18</f>
        <v>1.5981611971655543</v>
      </c>
      <c r="X21" s="102">
        <f>'Summary for Sigtest sheet'!G18</f>
        <v>1.5559333554005617</v>
      </c>
      <c r="Y21" s="103">
        <f>'Summary for Sigtest sheet'!H18</f>
        <v>1.6032272559495631</v>
      </c>
      <c r="Z21" s="104">
        <f>'Summary for Sigtest sheet'!I18</f>
        <v>1.8361588998357739</v>
      </c>
      <c r="AA21" s="98">
        <f>'Summary for Sigtest sheet'!J18</f>
        <v>1.6714403322398363</v>
      </c>
      <c r="AC21">
        <v>2</v>
      </c>
      <c r="AD21" t="s">
        <v>4</v>
      </c>
      <c r="AE21" s="109">
        <f>'Summary for Sigtest sheet'!N18</f>
        <v>8.4296239821496594E-4</v>
      </c>
      <c r="AF21" s="110">
        <f>'Summary for Sigtest sheet'!O18</f>
        <v>8.4124712055744027E-4</v>
      </c>
      <c r="AG21" s="111">
        <f>'Summary for Sigtest sheet'!P18</f>
        <v>7.54904702107952E-4</v>
      </c>
      <c r="AH21" s="112">
        <f>'Summary for Sigtest sheet'!Q18</f>
        <v>7.2103767611127829E-4</v>
      </c>
      <c r="AI21" s="113">
        <f>'Summary for Sigtest sheet'!R18</f>
        <v>6.9647893587658602E-4</v>
      </c>
      <c r="AJ21" s="114">
        <f>'Summary for Sigtest sheet'!S18</f>
        <v>6.9922856755214719E-4</v>
      </c>
      <c r="AK21" s="115">
        <f>'Summary for Sigtest sheet'!T18</f>
        <v>6.0834982537738157E-4</v>
      </c>
      <c r="AL21" s="116">
        <f>'Summary for Sigtest sheet'!U18</f>
        <v>5.4139032843415161E-4</v>
      </c>
    </row>
    <row r="22" spans="2:38" x14ac:dyDescent="0.2">
      <c r="B22" t="s">
        <v>9</v>
      </c>
      <c r="C22" t="s">
        <v>12</v>
      </c>
      <c r="D22" t="s">
        <v>14</v>
      </c>
      <c r="E22" t="str">
        <f t="shared" si="1"/>
        <v>NTAdultCalendar year 2016</v>
      </c>
      <c r="F22" s="40">
        <f t="shared" si="3"/>
        <v>3.1021152655661228</v>
      </c>
      <c r="G22" s="41">
        <f t="shared" si="4"/>
        <v>2.7174596784339381E-3</v>
      </c>
      <c r="R22">
        <v>3</v>
      </c>
      <c r="S22" t="s">
        <v>5</v>
      </c>
      <c r="T22" s="97">
        <f>'Summary for Sigtest sheet'!C19</f>
        <v>1.6435506191715168</v>
      </c>
      <c r="U22" s="105">
        <f>'Summary for Sigtest sheet'!D19</f>
        <v>1.6704586196681077</v>
      </c>
      <c r="V22" s="106">
        <f>'Summary for Sigtest sheet'!E19</f>
        <v>2.0190491842728187</v>
      </c>
      <c r="W22" s="107">
        <f>'Summary for Sigtest sheet'!F19</f>
        <v>1.9627679587245335</v>
      </c>
      <c r="X22" s="102">
        <f>'Summary for Sigtest sheet'!G19</f>
        <v>1.6655342685784822</v>
      </c>
      <c r="Y22" s="103">
        <f>'Summary for Sigtest sheet'!H19</f>
        <v>1.6536835451658414</v>
      </c>
      <c r="Z22" s="104">
        <f>'Summary for Sigtest sheet'!I19</f>
        <v>1.7350015630417279</v>
      </c>
      <c r="AA22" s="98">
        <f>'Summary for Sigtest sheet'!J19</f>
        <v>1.6566100578852827</v>
      </c>
      <c r="AC22">
        <v>3</v>
      </c>
      <c r="AD22" t="s">
        <v>5</v>
      </c>
      <c r="AE22" s="109">
        <f>'Summary for Sigtest sheet'!N19</f>
        <v>7.4649847698700605E-4</v>
      </c>
      <c r="AF22" s="110">
        <f>'Summary for Sigtest sheet'!O19</f>
        <v>7.3970724499572253E-4</v>
      </c>
      <c r="AG22" s="111">
        <f>'Summary for Sigtest sheet'!P19</f>
        <v>6.6478371097641474E-4</v>
      </c>
      <c r="AH22" s="112">
        <f>'Summary for Sigtest sheet'!Q19</f>
        <v>5.7465829249008264E-4</v>
      </c>
      <c r="AI22" s="113">
        <f>'Summary for Sigtest sheet'!R19</f>
        <v>5.6680225620581637E-4</v>
      </c>
      <c r="AJ22" s="114">
        <f>'Summary for Sigtest sheet'!S19</f>
        <v>5.6687143619844871E-4</v>
      </c>
      <c r="AK22" s="115">
        <f>'Summary for Sigtest sheet'!T19</f>
        <v>5.2467949681089191E-4</v>
      </c>
      <c r="AL22" s="116">
        <f>'Summary for Sigtest sheet'!U19</f>
        <v>5.6391027921139049E-4</v>
      </c>
    </row>
    <row r="23" spans="2:38" x14ac:dyDescent="0.2">
      <c r="B23" t="s">
        <v>10</v>
      </c>
      <c r="C23" t="s">
        <v>12</v>
      </c>
      <c r="D23" t="s">
        <v>14</v>
      </c>
      <c r="E23" t="str">
        <f t="shared" si="1"/>
        <v>ACTAdultCalendar year 2016</v>
      </c>
      <c r="F23" s="40">
        <f t="shared" si="3"/>
        <v>2.252095806615463</v>
      </c>
      <c r="G23" s="41">
        <f t="shared" si="4"/>
        <v>2.5985644954266618E-3</v>
      </c>
      <c r="R23">
        <v>4</v>
      </c>
      <c r="S23" t="s">
        <v>6</v>
      </c>
      <c r="T23" s="97">
        <f>'Summary for Sigtest sheet'!C20</f>
        <v>1.6665986918832181</v>
      </c>
      <c r="U23" s="105">
        <f>'Summary for Sigtest sheet'!D20</f>
        <v>1.5854479856132044</v>
      </c>
      <c r="V23" s="106">
        <f>'Summary for Sigtest sheet'!E20</f>
        <v>1.601302698429786</v>
      </c>
      <c r="W23" s="107">
        <f>'Summary for Sigtest sheet'!F20</f>
        <v>1.8391482955175802</v>
      </c>
      <c r="X23" s="102">
        <f>'Summary for Sigtest sheet'!G20</f>
        <v>2.1511211715234189</v>
      </c>
      <c r="Y23" s="103">
        <f>'Summary for Sigtest sheet'!H20</f>
        <v>3.4755005328295976</v>
      </c>
      <c r="Z23" s="104">
        <f>'Summary for Sigtest sheet'!I20</f>
        <v>3.2451743154534891</v>
      </c>
      <c r="AA23" s="98">
        <f>'Summary for Sigtest sheet'!J20</f>
        <v>1.8658681489833069</v>
      </c>
      <c r="AC23">
        <v>4</v>
      </c>
      <c r="AD23" t="s">
        <v>6</v>
      </c>
      <c r="AE23" s="109">
        <f>'Summary for Sigtest sheet'!N20</f>
        <v>7.9333553550487161E-4</v>
      </c>
      <c r="AF23" s="110">
        <f>'Summary for Sigtest sheet'!O20</f>
        <v>7.3676722354249131E-4</v>
      </c>
      <c r="AG23" s="111">
        <f>'Summary for Sigtest sheet'!P20</f>
        <v>7.0322086209856024E-4</v>
      </c>
      <c r="AH23" s="112">
        <f>'Summary for Sigtest sheet'!Q20</f>
        <v>8.2001126687161242E-4</v>
      </c>
      <c r="AI23" s="113">
        <f>'Summary for Sigtest sheet'!R20</f>
        <v>9.8201223924516902E-4</v>
      </c>
      <c r="AJ23" s="114">
        <f>'Summary for Sigtest sheet'!S20</f>
        <v>8.5476611856891301E-4</v>
      </c>
      <c r="AK23" s="115">
        <f>'Summary for Sigtest sheet'!T20</f>
        <v>7.4268846857013021E-4</v>
      </c>
      <c r="AL23" s="116">
        <f>'Summary for Sigtest sheet'!U20</f>
        <v>7.8771144238861269E-4</v>
      </c>
    </row>
    <row r="24" spans="2:38" ht="13.5" thickBot="1" x14ac:dyDescent="0.25">
      <c r="B24" t="s">
        <v>16</v>
      </c>
      <c r="C24" t="s">
        <v>12</v>
      </c>
      <c r="D24" t="s">
        <v>14</v>
      </c>
      <c r="E24" t="str">
        <f t="shared" si="1"/>
        <v>TotalAdultCalendar year 2016</v>
      </c>
      <c r="F24" s="42">
        <f t="shared" si="3"/>
        <v>1.5328660970285288</v>
      </c>
      <c r="G24" s="43">
        <f t="shared" si="4"/>
        <v>1.002935049606966E-3</v>
      </c>
      <c r="R24">
        <v>5</v>
      </c>
      <c r="S24" t="s">
        <v>7</v>
      </c>
      <c r="T24" s="97">
        <f>'Summary for Sigtest sheet'!C21</f>
        <v>1.6372967336113959</v>
      </c>
      <c r="U24" s="105">
        <f>'Summary for Sigtest sheet'!D21</f>
        <v>1.7236396454092284</v>
      </c>
      <c r="V24" s="106">
        <f>'Summary for Sigtest sheet'!E21</f>
        <v>1.9502826594244609</v>
      </c>
      <c r="W24" s="107">
        <f>'Summary for Sigtest sheet'!F21</f>
        <v>2.1356570887089701</v>
      </c>
      <c r="X24" s="102">
        <f>'Summary for Sigtest sheet'!G21</f>
        <v>2.1050692997597875</v>
      </c>
      <c r="Y24" s="103">
        <f>'Summary for Sigtest sheet'!H21</f>
        <v>1.9665630168677062</v>
      </c>
      <c r="Z24" s="104">
        <f>'Summary for Sigtest sheet'!I21</f>
        <v>2.283037046375755</v>
      </c>
      <c r="AA24" s="98">
        <f>'Summary for Sigtest sheet'!J21</f>
        <v>2.053928522049103</v>
      </c>
      <c r="AC24">
        <v>5</v>
      </c>
      <c r="AD24" t="s">
        <v>7</v>
      </c>
      <c r="AE24" s="109">
        <f>'Summary for Sigtest sheet'!N21</f>
        <v>9.0990401323845299E-4</v>
      </c>
      <c r="AF24" s="110">
        <f>'Summary for Sigtest sheet'!O21</f>
        <v>8.9772890517519541E-4</v>
      </c>
      <c r="AG24" s="111">
        <f>'Summary for Sigtest sheet'!P21</f>
        <v>7.040226031872778E-4</v>
      </c>
      <c r="AH24" s="112">
        <f>'Summary for Sigtest sheet'!Q21</f>
        <v>6.7627062459665725E-4</v>
      </c>
      <c r="AI24" s="113">
        <f>'Summary for Sigtest sheet'!R21</f>
        <v>7.6216352387876312E-4</v>
      </c>
      <c r="AJ24" s="114">
        <f>'Summary for Sigtest sheet'!S21</f>
        <v>7.2400277267935058E-4</v>
      </c>
      <c r="AK24" s="115">
        <f>'Summary for Sigtest sheet'!T21</f>
        <v>6.2783691884426413E-4</v>
      </c>
      <c r="AL24" s="116">
        <f>'Summary for Sigtest sheet'!U21</f>
        <v>6.2768636505950229E-4</v>
      </c>
    </row>
    <row r="25" spans="2:38" x14ac:dyDescent="0.2">
      <c r="B25" t="s">
        <v>3</v>
      </c>
      <c r="C25" t="s">
        <v>12</v>
      </c>
      <c r="D25" t="s">
        <v>15</v>
      </c>
      <c r="E25" t="str">
        <f t="shared" si="1"/>
        <v>NSWAdultFinancial year 2016/17</v>
      </c>
      <c r="F25" s="44">
        <f>V7</f>
        <v>1.4260857472875599</v>
      </c>
      <c r="G25" s="45">
        <f>AG7</f>
        <v>8.1871573373866057E-4</v>
      </c>
      <c r="R25">
        <v>6</v>
      </c>
      <c r="S25" t="s">
        <v>8</v>
      </c>
      <c r="T25" s="97">
        <f>'Summary for Sigtest sheet'!C22</f>
        <v>3.3616800206423729</v>
      </c>
      <c r="U25" s="105">
        <f>'Summary for Sigtest sheet'!D22</f>
        <v>3.2163587060922447</v>
      </c>
      <c r="V25" s="106">
        <f>'Summary for Sigtest sheet'!E22</f>
        <v>3.6680813278468789</v>
      </c>
      <c r="W25" s="107">
        <f>'Summary for Sigtest sheet'!F22</f>
        <v>4.5831565700816794</v>
      </c>
      <c r="X25" s="102">
        <f>'Summary for Sigtest sheet'!G22</f>
        <v>4.6789215486046425</v>
      </c>
      <c r="Y25" s="103">
        <f>'Summary for Sigtest sheet'!H22</f>
        <v>3.0453060877413138</v>
      </c>
      <c r="Z25" s="104">
        <f>'Summary for Sigtest sheet'!I22</f>
        <v>2.8563531985360968</v>
      </c>
      <c r="AA25" s="98">
        <f>'Summary for Sigtest sheet'!J22</f>
        <v>2.2322271185848073</v>
      </c>
      <c r="AC25">
        <v>6</v>
      </c>
      <c r="AD25" t="s">
        <v>8</v>
      </c>
      <c r="AE25" s="109">
        <f>'Summary for Sigtest sheet'!N22</f>
        <v>1.8312949038459389E-3</v>
      </c>
      <c r="AF25" s="110">
        <f>'Summary for Sigtest sheet'!O22</f>
        <v>1.8428457265292719E-3</v>
      </c>
      <c r="AG25" s="111">
        <f>'Summary for Sigtest sheet'!P22</f>
        <v>1.4805219864405114E-3</v>
      </c>
      <c r="AH25" s="112">
        <f>'Summary for Sigtest sheet'!Q22</f>
        <v>1.2625253379340371E-3</v>
      </c>
      <c r="AI25" s="113">
        <f>'Summary for Sigtest sheet'!R22</f>
        <v>1.4052887855347408E-3</v>
      </c>
      <c r="AJ25" s="114">
        <f>'Summary for Sigtest sheet'!S22</f>
        <v>1.3805111312036279E-3</v>
      </c>
      <c r="AK25" s="115">
        <f>'Summary for Sigtest sheet'!T22</f>
        <v>1.0868786410926569E-3</v>
      </c>
      <c r="AL25" s="116">
        <f>'Summary for Sigtest sheet'!U22</f>
        <v>9.3910400337867393E-4</v>
      </c>
    </row>
    <row r="26" spans="2:38" x14ac:dyDescent="0.2">
      <c r="B26" t="s">
        <v>4</v>
      </c>
      <c r="C26" t="s">
        <v>12</v>
      </c>
      <c r="D26" t="s">
        <v>15</v>
      </c>
      <c r="E26" t="str">
        <f t="shared" si="1"/>
        <v>VicAdultFinancial year 2016/17</v>
      </c>
      <c r="F26" s="44">
        <f t="shared" ref="F26:F33" si="5">V8</f>
        <v>1.429041198860888</v>
      </c>
      <c r="G26" s="45">
        <f t="shared" ref="G26:G33" si="6">AG8</f>
        <v>9.4220236387322913E-4</v>
      </c>
      <c r="R26">
        <v>7</v>
      </c>
      <c r="S26" t="s">
        <v>9</v>
      </c>
      <c r="T26" s="97">
        <f>'Summary for Sigtest sheet'!C23</f>
        <v>3.119979666088605</v>
      </c>
      <c r="U26" s="105">
        <f>'Summary for Sigtest sheet'!D23</f>
        <v>3.1886823439465219</v>
      </c>
      <c r="V26" s="106">
        <f>'Summary for Sigtest sheet'!E23</f>
        <v>2.1212005283074209</v>
      </c>
      <c r="W26" s="107">
        <f>'Summary for Sigtest sheet'!F23</f>
        <v>2.1878253447037999</v>
      </c>
      <c r="X26" s="102">
        <f>'Summary for Sigtest sheet'!G23</f>
        <v>4.7184601644773236</v>
      </c>
      <c r="Y26" s="103">
        <f>'Summary for Sigtest sheet'!H23</f>
        <v>4.9562684667005499</v>
      </c>
      <c r="Z26" s="104">
        <f>'Summary for Sigtest sheet'!I23</f>
        <v>3.7625016825845612</v>
      </c>
      <c r="AA26" s="98">
        <f>'Summary for Sigtest sheet'!J23</f>
        <v>2.5413186717929741</v>
      </c>
      <c r="AC26">
        <v>7</v>
      </c>
      <c r="AD26" t="s">
        <v>9</v>
      </c>
      <c r="AE26" s="109">
        <f>'Summary for Sigtest sheet'!N23</f>
        <v>2.7833210472898271E-3</v>
      </c>
      <c r="AF26" s="110">
        <f>'Summary for Sigtest sheet'!O23</f>
        <v>2.7765586154811514E-3</v>
      </c>
      <c r="AG26" s="111">
        <f>'Summary for Sigtest sheet'!P23</f>
        <v>3.0451992971195188E-3</v>
      </c>
      <c r="AH26" s="112">
        <f>'Summary for Sigtest sheet'!Q23</f>
        <v>2.159813463068263E-3</v>
      </c>
      <c r="AI26" s="113">
        <f>'Summary for Sigtest sheet'!R23</f>
        <v>1.9000752243013923E-3</v>
      </c>
      <c r="AJ26" s="114">
        <f>'Summary for Sigtest sheet'!S23</f>
        <v>1.5411143168607862E-3</v>
      </c>
      <c r="AK26" s="115">
        <f>'Summary for Sigtest sheet'!T23</f>
        <v>1.3754457954734563E-3</v>
      </c>
      <c r="AL26" s="116">
        <f>'Summary for Sigtest sheet'!U23</f>
        <v>1.0122747853494542E-3</v>
      </c>
    </row>
    <row r="27" spans="2:38" x14ac:dyDescent="0.2">
      <c r="B27" t="s">
        <v>5</v>
      </c>
      <c r="C27" t="s">
        <v>12</v>
      </c>
      <c r="D27" t="s">
        <v>15</v>
      </c>
      <c r="E27" t="str">
        <f t="shared" si="1"/>
        <v>QldAdultFinancial year 2016/17</v>
      </c>
      <c r="F27" s="44">
        <f t="shared" si="5"/>
        <v>1.4278792565344387</v>
      </c>
      <c r="G27" s="45">
        <f t="shared" si="6"/>
        <v>9.0189723455263169E-4</v>
      </c>
      <c r="R27">
        <v>8</v>
      </c>
      <c r="S27" t="s">
        <v>10</v>
      </c>
      <c r="T27" s="97">
        <f>'Summary for Sigtest sheet'!C24</f>
        <v>2.0410309506371225</v>
      </c>
      <c r="U27" s="105">
        <f>'Summary for Sigtest sheet'!D24</f>
        <v>2.1129504389114926</v>
      </c>
      <c r="V27" s="106">
        <f>'Summary for Sigtest sheet'!E24</f>
        <v>2.0978945829230469</v>
      </c>
      <c r="W27" s="107">
        <f>'Summary for Sigtest sheet'!F24</f>
        <v>2.1092175003929254</v>
      </c>
      <c r="X27" s="102">
        <f>'Summary for Sigtest sheet'!G24</f>
        <v>2.5148026532244105</v>
      </c>
      <c r="Y27" s="103">
        <f>'Summary for Sigtest sheet'!H24</f>
        <v>2.3601374276887404</v>
      </c>
      <c r="Z27" s="104">
        <f>'Summary for Sigtest sheet'!I24</f>
        <v>2.0933215540194929</v>
      </c>
      <c r="AA27" s="98">
        <f>'Summary for Sigtest sheet'!J24</f>
        <v>1.7561899360019864</v>
      </c>
      <c r="AC27">
        <v>8</v>
      </c>
      <c r="AD27" t="s">
        <v>10</v>
      </c>
      <c r="AE27" s="109">
        <f>'Summary for Sigtest sheet'!N24</f>
        <v>2.0504742038825663E-3</v>
      </c>
      <c r="AF27" s="110">
        <f>'Summary for Sigtest sheet'!O24</f>
        <v>1.9364342122447555E-3</v>
      </c>
      <c r="AG27" s="111">
        <f>'Summary for Sigtest sheet'!P24</f>
        <v>1.7400719814452958E-3</v>
      </c>
      <c r="AH27" s="112">
        <f>'Summary for Sigtest sheet'!Q24</f>
        <v>1.5607983505768613E-3</v>
      </c>
      <c r="AI27" s="113">
        <f>'Summary for Sigtest sheet'!R24</f>
        <v>1.9035252325051955E-3</v>
      </c>
      <c r="AJ27" s="114">
        <f>'Summary for Sigtest sheet'!S24</f>
        <v>1.7543412169125955E-3</v>
      </c>
      <c r="AK27" s="115">
        <f>'Summary for Sigtest sheet'!T24</f>
        <v>1.3757500989673747E-3</v>
      </c>
      <c r="AL27" s="116">
        <f>'Summary for Sigtest sheet'!U24</f>
        <v>1.2796374358977449E-3</v>
      </c>
    </row>
    <row r="28" spans="2:38" x14ac:dyDescent="0.2">
      <c r="B28" t="s">
        <v>6</v>
      </c>
      <c r="C28" t="s">
        <v>12</v>
      </c>
      <c r="D28" t="s">
        <v>15</v>
      </c>
      <c r="E28" t="str">
        <f t="shared" si="1"/>
        <v>SAAdultFinancial year 2016/17</v>
      </c>
      <c r="F28" s="44">
        <f t="shared" si="5"/>
        <v>1.4464823929414612</v>
      </c>
      <c r="G28" s="45">
        <f t="shared" si="6"/>
        <v>1.0909432107340969E-3</v>
      </c>
      <c r="R28" t="s">
        <v>30</v>
      </c>
      <c r="T28" s="97">
        <f>'Summary for Sigtest sheet'!C25</f>
        <v>1.7405569793836675</v>
      </c>
      <c r="U28" s="105">
        <f>'Summary for Sigtest sheet'!D25</f>
        <v>1.7130425705395222</v>
      </c>
      <c r="V28" s="106">
        <f>'Summary for Sigtest sheet'!E25</f>
        <v>1.9235976026342925</v>
      </c>
      <c r="W28" s="107">
        <f>'Summary for Sigtest sheet'!F25</f>
        <v>1.9767080057393469</v>
      </c>
      <c r="X28" s="102">
        <f>'Summary for Sigtest sheet'!G25</f>
        <v>1.9334512967260211</v>
      </c>
      <c r="Y28" s="103">
        <f>'Summary for Sigtest sheet'!H25</f>
        <v>1.9396452558366144</v>
      </c>
      <c r="Z28" s="104">
        <f>'Summary for Sigtest sheet'!I25</f>
        <v>1.9342081307979448</v>
      </c>
      <c r="AA28" s="98">
        <f>'Summary for Sigtest sheet'!J25</f>
        <v>1.7499580213843988</v>
      </c>
      <c r="AC28" t="s">
        <v>30</v>
      </c>
      <c r="AE28" s="109">
        <f>'Summary for Sigtest sheet'!N25</f>
        <v>8.3669329419344815E-4</v>
      </c>
      <c r="AF28" s="110">
        <f>'Summary for Sigtest sheet'!O25</f>
        <v>8.2741039263371069E-4</v>
      </c>
      <c r="AG28" s="111">
        <f>'Summary for Sigtest sheet'!P25</f>
        <v>7.3133043033876645E-4</v>
      </c>
      <c r="AH28" s="112">
        <f>'Summary for Sigtest sheet'!Q25</f>
        <v>6.8216764562187933E-4</v>
      </c>
      <c r="AI28" s="113">
        <f>'Summary for Sigtest sheet'!R25</f>
        <v>6.9877331376711881E-4</v>
      </c>
      <c r="AJ28" s="114">
        <f>'Summary for Sigtest sheet'!S25</f>
        <v>6.7785036390684435E-4</v>
      </c>
      <c r="AK28" s="115">
        <f>'Summary for Sigtest sheet'!T25</f>
        <v>6.0799742835474435E-4</v>
      </c>
      <c r="AL28" s="116">
        <f>'Summary for Sigtest sheet'!U25</f>
        <v>6.3999332970512241E-4</v>
      </c>
    </row>
    <row r="29" spans="2:38" x14ac:dyDescent="0.2">
      <c r="B29" t="s">
        <v>7</v>
      </c>
      <c r="C29" t="s">
        <v>12</v>
      </c>
      <c r="D29" t="s">
        <v>15</v>
      </c>
      <c r="E29" t="str">
        <f t="shared" si="1"/>
        <v>WAAdultFinancial year 2016/17</v>
      </c>
      <c r="F29" s="44">
        <f t="shared" si="5"/>
        <v>1.7227171621056006</v>
      </c>
      <c r="G29" s="45">
        <f t="shared" si="6"/>
        <v>1.0852070778636076E-3</v>
      </c>
    </row>
    <row r="30" spans="2:38" x14ac:dyDescent="0.2">
      <c r="B30" t="s">
        <v>8</v>
      </c>
      <c r="C30" t="s">
        <v>12</v>
      </c>
      <c r="D30" t="s">
        <v>15</v>
      </c>
      <c r="E30" t="str">
        <f t="shared" si="1"/>
        <v>TasAdultFinancial year 2016/17</v>
      </c>
      <c r="F30" s="44">
        <f t="shared" si="5"/>
        <v>2.4941934048898746</v>
      </c>
      <c r="G30" s="45">
        <f t="shared" si="6"/>
        <v>2.5997484264987658E-3</v>
      </c>
    </row>
    <row r="31" spans="2:38" x14ac:dyDescent="0.2">
      <c r="B31" t="s">
        <v>9</v>
      </c>
      <c r="C31" t="s">
        <v>12</v>
      </c>
      <c r="D31" t="s">
        <v>15</v>
      </c>
      <c r="E31" t="str">
        <f t="shared" si="1"/>
        <v>NTAdultFinancial year 2016/17</v>
      </c>
      <c r="F31" s="44">
        <f t="shared" si="5"/>
        <v>3.2124108491835508</v>
      </c>
      <c r="G31" s="45">
        <f t="shared" si="6"/>
        <v>2.7174596784339381E-3</v>
      </c>
    </row>
    <row r="32" spans="2:38" x14ac:dyDescent="0.2">
      <c r="B32" t="s">
        <v>10</v>
      </c>
      <c r="C32" t="s">
        <v>12</v>
      </c>
      <c r="D32" t="s">
        <v>15</v>
      </c>
      <c r="E32" t="str">
        <f t="shared" si="1"/>
        <v>ACTAdultFinancial year 2016/17</v>
      </c>
      <c r="F32" s="44">
        <f t="shared" si="5"/>
        <v>2.2357068439733481</v>
      </c>
      <c r="G32" s="45">
        <f t="shared" si="6"/>
        <v>2.5985644954266618E-3</v>
      </c>
    </row>
    <row r="33" spans="2:12" ht="13.5" thickBot="1" x14ac:dyDescent="0.25">
      <c r="B33" t="s">
        <v>16</v>
      </c>
      <c r="C33" t="s">
        <v>12</v>
      </c>
      <c r="D33" t="s">
        <v>15</v>
      </c>
      <c r="E33" t="str">
        <f t="shared" si="1"/>
        <v>TotalAdultFinancial year 2016/17</v>
      </c>
      <c r="F33" s="46">
        <f t="shared" si="5"/>
        <v>1.5739016621795692</v>
      </c>
      <c r="G33" s="47">
        <f t="shared" si="6"/>
        <v>1.002935049606966E-3</v>
      </c>
    </row>
    <row r="34" spans="2:12" x14ac:dyDescent="0.2">
      <c r="B34" t="s">
        <v>3</v>
      </c>
      <c r="C34" t="s">
        <v>12</v>
      </c>
      <c r="D34" t="s">
        <v>20</v>
      </c>
      <c r="E34" t="str">
        <f t="shared" ref="E34:E51" si="7">B34&amp;C34&amp;D34</f>
        <v>NSWAdultCalendar year 2017</v>
      </c>
      <c r="F34" s="48">
        <f>W7</f>
        <v>1.4140346157707868</v>
      </c>
      <c r="G34" s="49">
        <f>AH7</f>
        <v>8.2382322021599811E-4</v>
      </c>
    </row>
    <row r="35" spans="2:12" x14ac:dyDescent="0.2">
      <c r="B35" t="s">
        <v>4</v>
      </c>
      <c r="C35" t="s">
        <v>12</v>
      </c>
      <c r="D35" t="s">
        <v>20</v>
      </c>
      <c r="E35" t="str">
        <f t="shared" si="7"/>
        <v>VicAdultCalendar year 2017</v>
      </c>
      <c r="F35" s="50">
        <f t="shared" ref="F35:F42" si="8">W8</f>
        <v>1.4417160631970305</v>
      </c>
      <c r="G35" s="51">
        <f t="shared" ref="G35:G42" si="9">AH8</f>
        <v>9.5667056330952236E-4</v>
      </c>
    </row>
    <row r="36" spans="2:12" x14ac:dyDescent="0.2">
      <c r="B36" t="s">
        <v>5</v>
      </c>
      <c r="C36" t="s">
        <v>12</v>
      </c>
      <c r="D36" t="s">
        <v>20</v>
      </c>
      <c r="E36" t="str">
        <f t="shared" si="7"/>
        <v>QldAdultCalendar year 2017</v>
      </c>
      <c r="F36" s="50">
        <f t="shared" si="8"/>
        <v>1.4047645868197829</v>
      </c>
      <c r="G36" s="51">
        <f t="shared" si="9"/>
        <v>8.6091533616534314E-4</v>
      </c>
    </row>
    <row r="37" spans="2:12" x14ac:dyDescent="0.2">
      <c r="B37" t="s">
        <v>6</v>
      </c>
      <c r="C37" t="s">
        <v>12</v>
      </c>
      <c r="D37" t="s">
        <v>20</v>
      </c>
      <c r="E37" t="str">
        <f t="shared" si="7"/>
        <v>SAAdultCalendar year 2017</v>
      </c>
      <c r="F37" s="50">
        <f t="shared" si="8"/>
        <v>1.7647325162372633</v>
      </c>
      <c r="G37" s="51">
        <f t="shared" si="9"/>
        <v>1.3992748578600148E-3</v>
      </c>
      <c r="L37" s="29"/>
    </row>
    <row r="38" spans="2:12" x14ac:dyDescent="0.2">
      <c r="B38" t="s">
        <v>7</v>
      </c>
      <c r="C38" t="s">
        <v>12</v>
      </c>
      <c r="D38" t="s">
        <v>20</v>
      </c>
      <c r="E38" t="str">
        <f t="shared" si="7"/>
        <v>WAAdultCalendar year 2017</v>
      </c>
      <c r="F38" s="50">
        <f t="shared" si="8"/>
        <v>1.7189864238768218</v>
      </c>
      <c r="G38" s="51">
        <f t="shared" si="9"/>
        <v>1.0569739211173873E-3</v>
      </c>
      <c r="L38" s="29"/>
    </row>
    <row r="39" spans="2:12" x14ac:dyDescent="0.2">
      <c r="B39" t="s">
        <v>8</v>
      </c>
      <c r="C39" t="s">
        <v>12</v>
      </c>
      <c r="D39" t="s">
        <v>20</v>
      </c>
      <c r="E39" t="str">
        <f t="shared" si="7"/>
        <v>TasAdultCalendar year 2017</v>
      </c>
      <c r="F39" s="50">
        <f t="shared" si="8"/>
        <v>2.8479305887948159</v>
      </c>
      <c r="G39" s="51">
        <f t="shared" si="9"/>
        <v>2.6099836527093403E-3</v>
      </c>
    </row>
    <row r="40" spans="2:12" x14ac:dyDescent="0.2">
      <c r="B40" t="s">
        <v>9</v>
      </c>
      <c r="C40" t="s">
        <v>12</v>
      </c>
      <c r="D40" t="s">
        <v>20</v>
      </c>
      <c r="E40" t="str">
        <f t="shared" si="7"/>
        <v>NTAdultCalendar year 2017</v>
      </c>
      <c r="F40" s="50">
        <f t="shared" si="8"/>
        <v>2.9021773988018755</v>
      </c>
      <c r="G40" s="51">
        <f t="shared" si="9"/>
        <v>2.7244727259572157E-3</v>
      </c>
    </row>
    <row r="41" spans="2:12" x14ac:dyDescent="0.2">
      <c r="B41" t="s">
        <v>10</v>
      </c>
      <c r="C41" t="s">
        <v>12</v>
      </c>
      <c r="D41" t="s">
        <v>20</v>
      </c>
      <c r="E41" t="str">
        <f t="shared" si="7"/>
        <v>ACTAdultCalendar year 2017</v>
      </c>
      <c r="F41" s="50">
        <f t="shared" si="8"/>
        <v>2.2368369447574206</v>
      </c>
      <c r="G41" s="51">
        <f t="shared" si="9"/>
        <v>2.6114198369867939E-3</v>
      </c>
    </row>
    <row r="42" spans="2:12" ht="13.5" thickBot="1" x14ac:dyDescent="0.25">
      <c r="B42" t="s">
        <v>16</v>
      </c>
      <c r="C42" t="s">
        <v>12</v>
      </c>
      <c r="D42" t="s">
        <v>20</v>
      </c>
      <c r="E42" t="str">
        <f t="shared" si="7"/>
        <v>TotalAdultCalendar year 2017</v>
      </c>
      <c r="F42" s="52">
        <f t="shared" si="8"/>
        <v>1.6000901828822083</v>
      </c>
      <c r="G42" s="53">
        <f t="shared" si="9"/>
        <v>1.0190990999945978E-3</v>
      </c>
    </row>
    <row r="43" spans="2:12" x14ac:dyDescent="0.2">
      <c r="B43" t="s">
        <v>3</v>
      </c>
      <c r="C43" t="s">
        <v>12</v>
      </c>
      <c r="D43" t="s">
        <v>19</v>
      </c>
      <c r="E43" t="str">
        <f t="shared" si="7"/>
        <v>NSWAdultFinancial year 2017/18</v>
      </c>
      <c r="F43" s="54">
        <f>X7</f>
        <v>1.4326230334031986</v>
      </c>
      <c r="G43" s="55">
        <f>AI7</f>
        <v>8.0645423483854863E-4</v>
      </c>
    </row>
    <row r="44" spans="2:12" x14ac:dyDescent="0.2">
      <c r="B44" t="s">
        <v>4</v>
      </c>
      <c r="C44" t="s">
        <v>12</v>
      </c>
      <c r="D44" t="s">
        <v>19</v>
      </c>
      <c r="E44" t="str">
        <f t="shared" si="7"/>
        <v>VicAdultFinancial year 2017/18</v>
      </c>
      <c r="F44" s="54">
        <f t="shared" ref="F44:F51" si="10">X8</f>
        <v>1.3989421864863096</v>
      </c>
      <c r="G44" s="55">
        <f t="shared" ref="G44:G51" si="11">AI8</f>
        <v>9.521375527575391E-4</v>
      </c>
    </row>
    <row r="45" spans="2:12" x14ac:dyDescent="0.2">
      <c r="B45" t="s">
        <v>5</v>
      </c>
      <c r="C45" t="s">
        <v>12</v>
      </c>
      <c r="D45" t="s">
        <v>19</v>
      </c>
      <c r="E45" t="str">
        <f t="shared" si="7"/>
        <v>QldAdultFinancial year 2017/18</v>
      </c>
      <c r="F45" s="54">
        <f t="shared" si="10"/>
        <v>1.3665020115181088</v>
      </c>
      <c r="G45" s="55">
        <f t="shared" si="11"/>
        <v>8.6125025519598591E-4</v>
      </c>
    </row>
    <row r="46" spans="2:12" x14ac:dyDescent="0.2">
      <c r="B46" t="s">
        <v>6</v>
      </c>
      <c r="C46" t="s">
        <v>12</v>
      </c>
      <c r="D46" t="s">
        <v>19</v>
      </c>
      <c r="E46" t="str">
        <f t="shared" si="7"/>
        <v>SAAdultFinancial year 2017/18</v>
      </c>
      <c r="F46" s="54">
        <f t="shared" si="10"/>
        <v>2.1818670841417913</v>
      </c>
      <c r="G46" s="55">
        <f t="shared" si="11"/>
        <v>1.7047016962752817E-3</v>
      </c>
    </row>
    <row r="47" spans="2:12" x14ac:dyDescent="0.2">
      <c r="B47" t="s">
        <v>7</v>
      </c>
      <c r="C47" t="s">
        <v>12</v>
      </c>
      <c r="D47" t="s">
        <v>19</v>
      </c>
      <c r="E47" t="str">
        <f t="shared" si="7"/>
        <v>WAAdultFinancial year 2017/18</v>
      </c>
      <c r="F47" s="54">
        <f t="shared" si="10"/>
        <v>1.7486343638784716</v>
      </c>
      <c r="G47" s="55">
        <f t="shared" si="11"/>
        <v>1.0754686377146615E-3</v>
      </c>
    </row>
    <row r="48" spans="2:12" x14ac:dyDescent="0.2">
      <c r="B48" t="s">
        <v>8</v>
      </c>
      <c r="C48" t="s">
        <v>12</v>
      </c>
      <c r="D48" t="s">
        <v>19</v>
      </c>
      <c r="E48" t="str">
        <f t="shared" si="7"/>
        <v>TasAdultFinancial year 2017/18</v>
      </c>
      <c r="F48" s="54">
        <f t="shared" si="10"/>
        <v>3.5213893632477733</v>
      </c>
      <c r="G48" s="55">
        <f t="shared" si="11"/>
        <v>2.6228413302745112E-3</v>
      </c>
    </row>
    <row r="49" spans="2:11" x14ac:dyDescent="0.2">
      <c r="B49" t="s">
        <v>9</v>
      </c>
      <c r="C49" t="s">
        <v>12</v>
      </c>
      <c r="D49" t="s">
        <v>19</v>
      </c>
      <c r="E49" t="str">
        <f t="shared" si="7"/>
        <v>NTAdultFinancial year 2017/18</v>
      </c>
      <c r="F49" s="54">
        <f t="shared" si="10"/>
        <v>4.1148943175192416</v>
      </c>
      <c r="G49" s="55">
        <f t="shared" si="11"/>
        <v>2.6223213976478278E-3</v>
      </c>
    </row>
    <row r="50" spans="2:11" x14ac:dyDescent="0.2">
      <c r="B50" t="s">
        <v>10</v>
      </c>
      <c r="C50" t="s">
        <v>12</v>
      </c>
      <c r="D50" t="s">
        <v>19</v>
      </c>
      <c r="E50" t="str">
        <f t="shared" si="7"/>
        <v>ACTAdultFinancial year 2017/18</v>
      </c>
      <c r="F50" s="54">
        <f t="shared" si="10"/>
        <v>2.3051894495529868</v>
      </c>
      <c r="G50" s="55">
        <f t="shared" si="11"/>
        <v>2.6326037968095106E-3</v>
      </c>
    </row>
    <row r="51" spans="2:11" ht="13.5" thickBot="1" x14ac:dyDescent="0.25">
      <c r="B51" t="s">
        <v>16</v>
      </c>
      <c r="C51" t="s">
        <v>12</v>
      </c>
      <c r="D51" t="s">
        <v>19</v>
      </c>
      <c r="E51" t="str">
        <f t="shared" si="7"/>
        <v>TotalAdultFinancial year 2017/18</v>
      </c>
      <c r="F51" s="54">
        <f t="shared" si="10"/>
        <v>1.6392515002805921</v>
      </c>
      <c r="G51" s="55">
        <f t="shared" si="11"/>
        <v>1.0358520960551409E-3</v>
      </c>
    </row>
    <row r="52" spans="2:11" x14ac:dyDescent="0.2">
      <c r="B52" t="s">
        <v>3</v>
      </c>
      <c r="C52" t="s">
        <v>12</v>
      </c>
      <c r="D52" t="s">
        <v>64</v>
      </c>
      <c r="E52" t="str">
        <f t="shared" ref="E52:E78" si="12">B52&amp;C52&amp;D52</f>
        <v>NSWAdultCalendar year 2018</v>
      </c>
      <c r="F52" s="78">
        <f>Y7</f>
        <v>1.5044993924207106</v>
      </c>
      <c r="G52" s="82">
        <f>AJ7</f>
        <v>7.8184594809154687E-4</v>
      </c>
    </row>
    <row r="53" spans="2:11" x14ac:dyDescent="0.2">
      <c r="B53" t="s">
        <v>4</v>
      </c>
      <c r="C53" t="s">
        <v>12</v>
      </c>
      <c r="D53" t="s">
        <v>64</v>
      </c>
      <c r="E53" t="str">
        <f t="shared" si="12"/>
        <v>VicAdultCalendar year 2018</v>
      </c>
      <c r="F53" s="79">
        <f t="shared" ref="F53:F60" si="13">Y8</f>
        <v>1.3717970107452642</v>
      </c>
      <c r="G53" s="83">
        <f t="shared" ref="G53:G60" si="14">AJ8</f>
        <v>9.5157849893096785E-4</v>
      </c>
    </row>
    <row r="54" spans="2:11" x14ac:dyDescent="0.2">
      <c r="B54" t="s">
        <v>5</v>
      </c>
      <c r="C54" t="s">
        <v>12</v>
      </c>
      <c r="D54" t="s">
        <v>64</v>
      </c>
      <c r="E54" t="str">
        <f t="shared" si="12"/>
        <v>QldAdultCalendar year 2018</v>
      </c>
      <c r="F54" s="79">
        <f t="shared" si="13"/>
        <v>1.3887869613451072</v>
      </c>
      <c r="G54" s="83">
        <f t="shared" si="14"/>
        <v>8.6614633477111375E-4</v>
      </c>
    </row>
    <row r="55" spans="2:11" x14ac:dyDescent="0.2">
      <c r="B55" t="s">
        <v>6</v>
      </c>
      <c r="C55" t="s">
        <v>12</v>
      </c>
      <c r="D55" t="s">
        <v>64</v>
      </c>
      <c r="E55" t="str">
        <f t="shared" si="12"/>
        <v>SAAdultCalendar year 2018</v>
      </c>
      <c r="F55" s="79">
        <f t="shared" si="13"/>
        <v>2.4933406579567987</v>
      </c>
      <c r="G55" s="83">
        <f t="shared" si="14"/>
        <v>1.7193913313272621E-3</v>
      </c>
      <c r="K55" s="29"/>
    </row>
    <row r="56" spans="2:11" x14ac:dyDescent="0.2">
      <c r="B56" t="s">
        <v>7</v>
      </c>
      <c r="C56" t="s">
        <v>12</v>
      </c>
      <c r="D56" t="s">
        <v>64</v>
      </c>
      <c r="E56" t="str">
        <f t="shared" si="12"/>
        <v>WAAdultCalendar year 2018</v>
      </c>
      <c r="F56" s="79">
        <f t="shared" si="13"/>
        <v>1.8107103193613117</v>
      </c>
      <c r="G56" s="83">
        <f t="shared" si="14"/>
        <v>1.0760620707199178E-3</v>
      </c>
    </row>
    <row r="57" spans="2:11" x14ac:dyDescent="0.2">
      <c r="B57" t="s">
        <v>8</v>
      </c>
      <c r="C57" t="s">
        <v>12</v>
      </c>
      <c r="D57" t="s">
        <v>64</v>
      </c>
      <c r="E57" t="str">
        <f t="shared" si="12"/>
        <v>TasAdultCalendar year 2018</v>
      </c>
      <c r="F57" s="79">
        <f t="shared" si="13"/>
        <v>3.8085782584487244</v>
      </c>
      <c r="G57" s="83">
        <f t="shared" si="14"/>
        <v>2.6034381105420746E-3</v>
      </c>
    </row>
    <row r="58" spans="2:11" x14ac:dyDescent="0.2">
      <c r="B58" t="s">
        <v>9</v>
      </c>
      <c r="C58" t="s">
        <v>12</v>
      </c>
      <c r="D58" t="s">
        <v>64</v>
      </c>
      <c r="E58" t="str">
        <f t="shared" si="12"/>
        <v>NTAdultCalendar year 2018</v>
      </c>
      <c r="F58" s="79">
        <f t="shared" si="13"/>
        <v>7.2527205217943447</v>
      </c>
      <c r="G58" s="83">
        <f t="shared" si="14"/>
        <v>2.507446281275607E-3</v>
      </c>
    </row>
    <row r="59" spans="2:11" x14ac:dyDescent="0.2">
      <c r="B59" t="s">
        <v>10</v>
      </c>
      <c r="C59" t="s">
        <v>12</v>
      </c>
      <c r="D59" t="s">
        <v>64</v>
      </c>
      <c r="E59" t="str">
        <f t="shared" si="12"/>
        <v>ACTAdultCalendar year 2018</v>
      </c>
      <c r="F59" s="79">
        <f t="shared" si="13"/>
        <v>2.3312764937916999</v>
      </c>
      <c r="G59" s="83">
        <f t="shared" si="14"/>
        <v>2.6912439706064765E-3</v>
      </c>
    </row>
    <row r="60" spans="2:11" ht="13.5" thickBot="1" x14ac:dyDescent="0.25">
      <c r="B60" t="s">
        <v>16</v>
      </c>
      <c r="C60" t="s">
        <v>12</v>
      </c>
      <c r="D60" t="s">
        <v>64</v>
      </c>
      <c r="E60" t="str">
        <f t="shared" si="12"/>
        <v>TotalAdultCalendar year 2018</v>
      </c>
      <c r="F60" s="80">
        <f t="shared" si="13"/>
        <v>1.7082467359817861</v>
      </c>
      <c r="G60" s="84">
        <f t="shared" si="14"/>
        <v>1.0292968731856109E-3</v>
      </c>
    </row>
    <row r="61" spans="2:11" x14ac:dyDescent="0.2">
      <c r="B61" t="s">
        <v>3</v>
      </c>
      <c r="C61" t="s">
        <v>12</v>
      </c>
      <c r="D61" t="s">
        <v>68</v>
      </c>
      <c r="E61" t="str">
        <f t="shared" si="12"/>
        <v>NSWAdultFinancial year 2018/19</v>
      </c>
      <c r="F61" s="86">
        <f>Z7</f>
        <v>1.4519204109243695</v>
      </c>
      <c r="G61" s="87">
        <f>AK7</f>
        <v>7.9856169169462089E-4</v>
      </c>
    </row>
    <row r="62" spans="2:11" x14ac:dyDescent="0.2">
      <c r="B62" t="s">
        <v>4</v>
      </c>
      <c r="C62" t="s">
        <v>12</v>
      </c>
      <c r="D62" t="s">
        <v>68</v>
      </c>
      <c r="E62" t="str">
        <f t="shared" si="12"/>
        <v>VicAdultFinancial year 2018/19</v>
      </c>
      <c r="F62" s="86">
        <f t="shared" ref="F62:F69" si="15">Z8</f>
        <v>1.3763225364727538</v>
      </c>
      <c r="G62" s="87">
        <f t="shared" ref="G62:G69" si="16">AK8</f>
        <v>9.0318781860657148E-4</v>
      </c>
    </row>
    <row r="63" spans="2:11" x14ac:dyDescent="0.2">
      <c r="B63" t="s">
        <v>5</v>
      </c>
      <c r="C63" t="s">
        <v>12</v>
      </c>
      <c r="D63" t="s">
        <v>68</v>
      </c>
      <c r="E63" t="str">
        <f t="shared" si="12"/>
        <v>QldAdultFinancial year 2018/19</v>
      </c>
      <c r="F63" s="86">
        <f t="shared" si="15"/>
        <v>1.4290423934019993</v>
      </c>
      <c r="G63" s="87">
        <f t="shared" si="16"/>
        <v>8.7568816887861629E-4</v>
      </c>
    </row>
    <row r="64" spans="2:11" x14ac:dyDescent="0.2">
      <c r="B64" t="s">
        <v>6</v>
      </c>
      <c r="C64" t="s">
        <v>12</v>
      </c>
      <c r="D64" t="s">
        <v>68</v>
      </c>
      <c r="E64" t="str">
        <f t="shared" si="12"/>
        <v>SAAdultFinancial year 2018/19</v>
      </c>
      <c r="F64" s="86">
        <f t="shared" si="15"/>
        <v>2.7134201938011224</v>
      </c>
      <c r="G64" s="87">
        <f t="shared" si="16"/>
        <v>1.7023106565814965E-3</v>
      </c>
    </row>
    <row r="65" spans="2:7" x14ac:dyDescent="0.2">
      <c r="B65" t="s">
        <v>7</v>
      </c>
      <c r="C65" t="s">
        <v>12</v>
      </c>
      <c r="D65" t="s">
        <v>68</v>
      </c>
      <c r="E65" t="str">
        <f t="shared" si="12"/>
        <v>WAAdultFinancial year 2018/19</v>
      </c>
      <c r="F65" s="86">
        <f t="shared" si="15"/>
        <v>1.9218833936907331</v>
      </c>
      <c r="G65" s="87">
        <f t="shared" si="16"/>
        <v>1.0590302676164458E-3</v>
      </c>
    </row>
    <row r="66" spans="2:7" x14ac:dyDescent="0.2">
      <c r="B66" t="s">
        <v>8</v>
      </c>
      <c r="C66" t="s">
        <v>12</v>
      </c>
      <c r="D66" t="s">
        <v>68</v>
      </c>
      <c r="E66" t="str">
        <f t="shared" si="12"/>
        <v>TasAdultFinancial year 2018/19</v>
      </c>
      <c r="F66" s="86">
        <f t="shared" si="15"/>
        <v>3.4325804256365382</v>
      </c>
      <c r="G66" s="87">
        <f t="shared" si="16"/>
        <v>2.5957948584358148E-3</v>
      </c>
    </row>
    <row r="67" spans="2:7" x14ac:dyDescent="0.2">
      <c r="B67" t="s">
        <v>9</v>
      </c>
      <c r="C67" t="s">
        <v>12</v>
      </c>
      <c r="D67" t="s">
        <v>68</v>
      </c>
      <c r="E67" t="str">
        <f t="shared" si="12"/>
        <v>NTAdultFinancial year 2018/19</v>
      </c>
      <c r="F67" s="86">
        <f t="shared" si="15"/>
        <v>7.1440256017674963</v>
      </c>
      <c r="G67" s="87">
        <f t="shared" si="16"/>
        <v>2.5408692985594435E-3</v>
      </c>
    </row>
    <row r="68" spans="2:7" x14ac:dyDescent="0.2">
      <c r="B68" t="s">
        <v>10</v>
      </c>
      <c r="C68" t="s">
        <v>12</v>
      </c>
      <c r="D68" t="s">
        <v>68</v>
      </c>
      <c r="E68" t="str">
        <f t="shared" si="12"/>
        <v>ACTAdultFinancial year 2018/19</v>
      </c>
      <c r="F68" s="86">
        <f t="shared" si="15"/>
        <v>2.3875776309437389</v>
      </c>
      <c r="G68" s="87">
        <f t="shared" si="16"/>
        <v>2.7024993779043182E-3</v>
      </c>
    </row>
    <row r="69" spans="2:7" x14ac:dyDescent="0.2">
      <c r="B69" t="s">
        <v>16</v>
      </c>
      <c r="C69" t="s">
        <v>12</v>
      </c>
      <c r="D69" t="s">
        <v>68</v>
      </c>
      <c r="E69" t="str">
        <f t="shared" si="12"/>
        <v>TotalAdultFinancial year 2018/19</v>
      </c>
      <c r="F69" s="86">
        <f t="shared" si="15"/>
        <v>1.7103467323462438</v>
      </c>
      <c r="G69" s="87">
        <f t="shared" si="16"/>
        <v>1.0213772537515451E-3</v>
      </c>
    </row>
    <row r="70" spans="2:7" x14ac:dyDescent="0.2">
      <c r="B70" t="s">
        <v>3</v>
      </c>
      <c r="C70" t="s">
        <v>12</v>
      </c>
      <c r="D70" t="s">
        <v>84</v>
      </c>
      <c r="E70" t="str">
        <f t="shared" si="12"/>
        <v>NSWAdultCalendar year 2019</v>
      </c>
      <c r="F70" s="117">
        <f t="shared" ref="F70:F78" si="17">AA7</f>
        <v>1.2489273879622322</v>
      </c>
      <c r="G70" s="118">
        <f>'WEFF values'!AL7</f>
        <v>9.2332172904471073E-4</v>
      </c>
    </row>
    <row r="71" spans="2:7" x14ac:dyDescent="0.2">
      <c r="B71" t="s">
        <v>4</v>
      </c>
      <c r="C71" t="s">
        <v>12</v>
      </c>
      <c r="D71" t="s">
        <v>84</v>
      </c>
      <c r="E71" t="str">
        <f t="shared" si="12"/>
        <v>VicAdultCalendar year 2019</v>
      </c>
      <c r="F71" s="117">
        <f t="shared" si="17"/>
        <v>1.2392240136514037</v>
      </c>
      <c r="G71" s="118">
        <f>'WEFF values'!AL8</f>
        <v>8.5511377087817792E-4</v>
      </c>
    </row>
    <row r="72" spans="2:7" x14ac:dyDescent="0.2">
      <c r="B72" t="s">
        <v>5</v>
      </c>
      <c r="C72" t="s">
        <v>12</v>
      </c>
      <c r="D72" t="s">
        <v>84</v>
      </c>
      <c r="E72" t="str">
        <f t="shared" si="12"/>
        <v>QldAdultCalendar year 2019</v>
      </c>
      <c r="F72" s="117">
        <f t="shared" si="17"/>
        <v>1.279071188040938</v>
      </c>
      <c r="G72" s="118">
        <f>'WEFF values'!AL9</f>
        <v>8.9237077009172668E-4</v>
      </c>
    </row>
    <row r="73" spans="2:7" x14ac:dyDescent="0.2">
      <c r="B73" t="s">
        <v>6</v>
      </c>
      <c r="C73" t="s">
        <v>12</v>
      </c>
      <c r="D73" t="s">
        <v>84</v>
      </c>
      <c r="E73" t="str">
        <f t="shared" si="12"/>
        <v>SAAdultCalendar year 2019</v>
      </c>
      <c r="F73" s="117">
        <f t="shared" si="17"/>
        <v>1.866122560166988</v>
      </c>
      <c r="G73" s="118">
        <f>'WEFF values'!AL10</f>
        <v>1.3846423306123194E-3</v>
      </c>
    </row>
    <row r="74" spans="2:7" x14ac:dyDescent="0.2">
      <c r="B74" t="s">
        <v>7</v>
      </c>
      <c r="C74" t="s">
        <v>12</v>
      </c>
      <c r="D74" t="s">
        <v>84</v>
      </c>
      <c r="E74" t="str">
        <f t="shared" si="12"/>
        <v>WAAdultCalendar year 2019</v>
      </c>
      <c r="F74" s="117">
        <f t="shared" si="17"/>
        <v>1.5666006762004323</v>
      </c>
      <c r="G74" s="118">
        <f>'WEFF values'!AL11</f>
        <v>1.0066074918210373E-3</v>
      </c>
    </row>
    <row r="75" spans="2:7" x14ac:dyDescent="0.2">
      <c r="B75" t="s">
        <v>8</v>
      </c>
      <c r="C75" t="s">
        <v>12</v>
      </c>
      <c r="D75" t="s">
        <v>84</v>
      </c>
      <c r="E75" t="str">
        <f t="shared" si="12"/>
        <v>TasAdultCalendar year 2019</v>
      </c>
      <c r="F75" s="117">
        <f t="shared" si="17"/>
        <v>2.1445061215401151</v>
      </c>
      <c r="G75" s="118">
        <f>'WEFF values'!AL12</f>
        <v>1.9180552706990137E-3</v>
      </c>
    </row>
    <row r="76" spans="2:7" x14ac:dyDescent="0.2">
      <c r="B76" t="s">
        <v>9</v>
      </c>
      <c r="C76" t="s">
        <v>12</v>
      </c>
      <c r="D76" t="s">
        <v>84</v>
      </c>
      <c r="E76" t="str">
        <f t="shared" si="12"/>
        <v>NTAdultCalendar year 2019</v>
      </c>
      <c r="F76" s="117">
        <f t="shared" si="17"/>
        <v>2.8423560074865257</v>
      </c>
      <c r="G76" s="118">
        <f>'WEFF values'!AL13</f>
        <v>1.7783634102966751E-3</v>
      </c>
    </row>
    <row r="77" spans="2:7" x14ac:dyDescent="0.2">
      <c r="B77" t="s">
        <v>10</v>
      </c>
      <c r="C77" t="s">
        <v>12</v>
      </c>
      <c r="D77" t="s">
        <v>84</v>
      </c>
      <c r="E77" t="str">
        <f t="shared" si="12"/>
        <v>ACTAdultCalendar year 2019</v>
      </c>
      <c r="F77" s="117">
        <f t="shared" si="17"/>
        <v>1.7853903248990939</v>
      </c>
      <c r="G77" s="118">
        <f>'WEFF values'!AL14</f>
        <v>2.094861348158064E-3</v>
      </c>
    </row>
    <row r="78" spans="2:7" x14ac:dyDescent="0.2">
      <c r="B78" t="s">
        <v>16</v>
      </c>
      <c r="C78" t="s">
        <v>12</v>
      </c>
      <c r="D78" t="s">
        <v>84</v>
      </c>
      <c r="E78" t="str">
        <f t="shared" si="12"/>
        <v>TotalAdultCalendar year 2019</v>
      </c>
      <c r="F78" s="117">
        <f t="shared" si="17"/>
        <v>1.3903498254833511</v>
      </c>
      <c r="G78" s="118">
        <f>'WEFF values'!AL15</f>
        <v>9.8995761323529422E-4</v>
      </c>
    </row>
    <row r="79" spans="2:7" x14ac:dyDescent="0.2">
      <c r="B79" t="s">
        <v>3</v>
      </c>
      <c r="C79" t="s">
        <v>11</v>
      </c>
      <c r="D79" t="s">
        <v>17</v>
      </c>
      <c r="E79" t="str">
        <f t="shared" si="1"/>
        <v>NSWChildQ4 2015-Q3, 2016</v>
      </c>
      <c r="F79" s="36">
        <f t="shared" ref="F79:F87" si="18">T20</f>
        <v>1.6515469326153915</v>
      </c>
      <c r="G79" s="37">
        <f t="shared" ref="G79:G87" si="19">AE20</f>
        <v>6.8508900770204218E-4</v>
      </c>
    </row>
    <row r="80" spans="2:7" x14ac:dyDescent="0.2">
      <c r="B80" t="s">
        <v>4</v>
      </c>
      <c r="C80" t="s">
        <v>11</v>
      </c>
      <c r="D80" t="s">
        <v>17</v>
      </c>
      <c r="E80" t="str">
        <f t="shared" si="1"/>
        <v>VicChildQ4 2015-Q3, 2016</v>
      </c>
      <c r="F80" s="36">
        <f t="shared" si="18"/>
        <v>1.5188677816135865</v>
      </c>
      <c r="G80" s="37">
        <f t="shared" si="19"/>
        <v>8.4296239821496594E-4</v>
      </c>
    </row>
    <row r="81" spans="2:7" x14ac:dyDescent="0.2">
      <c r="B81" t="s">
        <v>5</v>
      </c>
      <c r="C81" t="s">
        <v>11</v>
      </c>
      <c r="D81" t="s">
        <v>17</v>
      </c>
      <c r="E81" t="str">
        <f t="shared" si="1"/>
        <v>QldChildQ4 2015-Q3, 2016</v>
      </c>
      <c r="F81" s="36">
        <f t="shared" si="18"/>
        <v>1.6435506191715168</v>
      </c>
      <c r="G81" s="37">
        <f t="shared" si="19"/>
        <v>7.4649847698700605E-4</v>
      </c>
    </row>
    <row r="82" spans="2:7" x14ac:dyDescent="0.2">
      <c r="B82" t="s">
        <v>6</v>
      </c>
      <c r="C82" t="s">
        <v>11</v>
      </c>
      <c r="D82" t="s">
        <v>17</v>
      </c>
      <c r="E82" t="str">
        <f t="shared" si="1"/>
        <v>SAChildQ4 2015-Q3, 2016</v>
      </c>
      <c r="F82" s="36">
        <f t="shared" si="18"/>
        <v>1.6665986918832181</v>
      </c>
      <c r="G82" s="37">
        <f t="shared" si="19"/>
        <v>7.9333553550487161E-4</v>
      </c>
    </row>
    <row r="83" spans="2:7" x14ac:dyDescent="0.2">
      <c r="B83" t="s">
        <v>7</v>
      </c>
      <c r="C83" t="s">
        <v>11</v>
      </c>
      <c r="D83" t="s">
        <v>17</v>
      </c>
      <c r="E83" t="str">
        <f t="shared" si="1"/>
        <v>WAChildQ4 2015-Q3, 2016</v>
      </c>
      <c r="F83" s="36">
        <f t="shared" si="18"/>
        <v>1.6372967336113959</v>
      </c>
      <c r="G83" s="37">
        <f t="shared" si="19"/>
        <v>9.0990401323845299E-4</v>
      </c>
    </row>
    <row r="84" spans="2:7" x14ac:dyDescent="0.2">
      <c r="B84" t="s">
        <v>8</v>
      </c>
      <c r="C84" t="s">
        <v>11</v>
      </c>
      <c r="D84" t="s">
        <v>17</v>
      </c>
      <c r="E84" t="str">
        <f t="shared" si="1"/>
        <v>TasChildQ4 2015-Q3, 2016</v>
      </c>
      <c r="F84" s="36">
        <f t="shared" si="18"/>
        <v>3.3616800206423729</v>
      </c>
      <c r="G84" s="37">
        <f t="shared" si="19"/>
        <v>1.8312949038459389E-3</v>
      </c>
    </row>
    <row r="85" spans="2:7" x14ac:dyDescent="0.2">
      <c r="B85" t="s">
        <v>9</v>
      </c>
      <c r="C85" t="s">
        <v>11</v>
      </c>
      <c r="D85" t="s">
        <v>17</v>
      </c>
      <c r="E85" t="str">
        <f t="shared" si="1"/>
        <v>NTChildQ4 2015-Q3, 2016</v>
      </c>
      <c r="F85" s="36">
        <f t="shared" si="18"/>
        <v>3.119979666088605</v>
      </c>
      <c r="G85" s="37">
        <f t="shared" si="19"/>
        <v>2.7833210472898271E-3</v>
      </c>
    </row>
    <row r="86" spans="2:7" x14ac:dyDescent="0.2">
      <c r="B86" t="s">
        <v>10</v>
      </c>
      <c r="C86" t="s">
        <v>11</v>
      </c>
      <c r="D86" t="s">
        <v>17</v>
      </c>
      <c r="E86" t="str">
        <f t="shared" si="1"/>
        <v>ACTChildQ4 2015-Q3, 2016</v>
      </c>
      <c r="F86" s="36">
        <f t="shared" si="18"/>
        <v>2.0410309506371225</v>
      </c>
      <c r="G86" s="37">
        <f t="shared" si="19"/>
        <v>2.0504742038825663E-3</v>
      </c>
    </row>
    <row r="87" spans="2:7" ht="13.5" thickBot="1" x14ac:dyDescent="0.25">
      <c r="B87" t="s">
        <v>16</v>
      </c>
      <c r="C87" t="s">
        <v>11</v>
      </c>
      <c r="D87" t="s">
        <v>17</v>
      </c>
      <c r="E87" t="str">
        <f t="shared" si="1"/>
        <v>TotalChildQ4 2015-Q3, 2016</v>
      </c>
      <c r="F87" s="119">
        <f t="shared" si="18"/>
        <v>1.7405569793836675</v>
      </c>
      <c r="G87" s="81">
        <f t="shared" si="19"/>
        <v>8.3669329419344815E-4</v>
      </c>
    </row>
    <row r="88" spans="2:7" x14ac:dyDescent="0.2">
      <c r="B88" t="s">
        <v>3</v>
      </c>
      <c r="C88" t="s">
        <v>11</v>
      </c>
      <c r="D88" t="s">
        <v>14</v>
      </c>
      <c r="E88" t="str">
        <f t="shared" si="1"/>
        <v>NSWChildCalendar year 2016</v>
      </c>
      <c r="F88" s="56">
        <f t="shared" ref="F88:F96" si="20">U20</f>
        <v>1.5703098789991619</v>
      </c>
      <c r="G88" s="57">
        <f t="shared" ref="G88:G96" si="21">AF20</f>
        <v>6.8457453557184628E-4</v>
      </c>
    </row>
    <row r="89" spans="2:7" x14ac:dyDescent="0.2">
      <c r="B89" t="s">
        <v>4</v>
      </c>
      <c r="C89" t="s">
        <v>11</v>
      </c>
      <c r="D89" t="s">
        <v>14</v>
      </c>
      <c r="E89" t="str">
        <f t="shared" si="1"/>
        <v>VicChildCalendar year 2016</v>
      </c>
      <c r="F89" s="58">
        <f t="shared" si="20"/>
        <v>1.5176272288208679</v>
      </c>
      <c r="G89" s="59">
        <f t="shared" si="21"/>
        <v>8.4124712055744027E-4</v>
      </c>
    </row>
    <row r="90" spans="2:7" x14ac:dyDescent="0.2">
      <c r="B90" t="s">
        <v>5</v>
      </c>
      <c r="C90" t="s">
        <v>11</v>
      </c>
      <c r="D90" t="s">
        <v>14</v>
      </c>
      <c r="E90" t="str">
        <f t="shared" si="1"/>
        <v>QldChildCalendar year 2016</v>
      </c>
      <c r="F90" s="58">
        <f t="shared" si="20"/>
        <v>1.6704586196681077</v>
      </c>
      <c r="G90" s="59">
        <f t="shared" si="21"/>
        <v>7.3970724499572253E-4</v>
      </c>
    </row>
    <row r="91" spans="2:7" x14ac:dyDescent="0.2">
      <c r="B91" t="s">
        <v>6</v>
      </c>
      <c r="C91" t="s">
        <v>11</v>
      </c>
      <c r="D91" t="s">
        <v>14</v>
      </c>
      <c r="E91" t="str">
        <f t="shared" si="1"/>
        <v>SAChildCalendar year 2016</v>
      </c>
      <c r="F91" s="58">
        <f t="shared" si="20"/>
        <v>1.5854479856132044</v>
      </c>
      <c r="G91" s="59">
        <f t="shared" si="21"/>
        <v>7.3676722354249131E-4</v>
      </c>
    </row>
    <row r="92" spans="2:7" x14ac:dyDescent="0.2">
      <c r="B92" t="s">
        <v>7</v>
      </c>
      <c r="C92" t="s">
        <v>11</v>
      </c>
      <c r="D92" t="s">
        <v>14</v>
      </c>
      <c r="E92" t="str">
        <f t="shared" si="1"/>
        <v>WAChildCalendar year 2016</v>
      </c>
      <c r="F92" s="58">
        <f t="shared" si="20"/>
        <v>1.7236396454092284</v>
      </c>
      <c r="G92" s="59">
        <f t="shared" si="21"/>
        <v>8.9772890517519541E-4</v>
      </c>
    </row>
    <row r="93" spans="2:7" x14ac:dyDescent="0.2">
      <c r="B93" t="s">
        <v>8</v>
      </c>
      <c r="C93" t="s">
        <v>11</v>
      </c>
      <c r="D93" t="s">
        <v>14</v>
      </c>
      <c r="E93" t="str">
        <f t="shared" si="1"/>
        <v>TasChildCalendar year 2016</v>
      </c>
      <c r="F93" s="58">
        <f t="shared" si="20"/>
        <v>3.2163587060922447</v>
      </c>
      <c r="G93" s="59">
        <f t="shared" si="21"/>
        <v>1.8428457265292719E-3</v>
      </c>
    </row>
    <row r="94" spans="2:7" x14ac:dyDescent="0.2">
      <c r="B94" t="s">
        <v>9</v>
      </c>
      <c r="C94" t="s">
        <v>11</v>
      </c>
      <c r="D94" t="s">
        <v>14</v>
      </c>
      <c r="E94" t="str">
        <f t="shared" si="1"/>
        <v>NTChildCalendar year 2016</v>
      </c>
      <c r="F94" s="58">
        <f t="shared" si="20"/>
        <v>3.1886823439465219</v>
      </c>
      <c r="G94" s="59">
        <f t="shared" si="21"/>
        <v>2.7765586154811514E-3</v>
      </c>
    </row>
    <row r="95" spans="2:7" x14ac:dyDescent="0.2">
      <c r="B95" t="s">
        <v>10</v>
      </c>
      <c r="C95" t="s">
        <v>11</v>
      </c>
      <c r="D95" t="s">
        <v>14</v>
      </c>
      <c r="E95" t="str">
        <f t="shared" si="1"/>
        <v>ACTChildCalendar year 2016</v>
      </c>
      <c r="F95" s="58">
        <f t="shared" si="20"/>
        <v>2.1129504389114926</v>
      </c>
      <c r="G95" s="59">
        <f t="shared" si="21"/>
        <v>1.9364342122447555E-3</v>
      </c>
    </row>
    <row r="96" spans="2:7" ht="13.5" thickBot="1" x14ac:dyDescent="0.25">
      <c r="B96" t="s">
        <v>16</v>
      </c>
      <c r="C96" t="s">
        <v>11</v>
      </c>
      <c r="D96" t="s">
        <v>14</v>
      </c>
      <c r="E96" t="str">
        <f t="shared" si="1"/>
        <v>TotalChildCalendar year 2016</v>
      </c>
      <c r="F96" s="60">
        <f t="shared" si="20"/>
        <v>1.7130425705395222</v>
      </c>
      <c r="G96" s="61">
        <f t="shared" si="21"/>
        <v>8.2741039263371069E-4</v>
      </c>
    </row>
    <row r="97" spans="2:7" x14ac:dyDescent="0.2">
      <c r="B97" t="s">
        <v>3</v>
      </c>
      <c r="C97" t="s">
        <v>11</v>
      </c>
      <c r="D97" t="s">
        <v>15</v>
      </c>
      <c r="E97" t="str">
        <f t="shared" si="1"/>
        <v>NSWChildFinancial year 2016/17</v>
      </c>
      <c r="F97" s="62">
        <f t="shared" ref="F97:F105" si="22">V20</f>
        <v>1.7972717891204204</v>
      </c>
      <c r="G97" s="63">
        <f t="shared" ref="G97:G105" si="23">AG20</f>
        <v>6.0717003140690255E-4</v>
      </c>
    </row>
    <row r="98" spans="2:7" x14ac:dyDescent="0.2">
      <c r="B98" t="s">
        <v>4</v>
      </c>
      <c r="C98" t="s">
        <v>11</v>
      </c>
      <c r="D98" t="s">
        <v>15</v>
      </c>
      <c r="E98" t="str">
        <f t="shared" si="1"/>
        <v>VicChildFinancial year 2016/17</v>
      </c>
      <c r="F98" s="64">
        <f t="shared" si="22"/>
        <v>1.5610784379081144</v>
      </c>
      <c r="G98" s="65">
        <f t="shared" si="23"/>
        <v>7.54904702107952E-4</v>
      </c>
    </row>
    <row r="99" spans="2:7" x14ac:dyDescent="0.2">
      <c r="B99" t="s">
        <v>5</v>
      </c>
      <c r="C99" t="s">
        <v>11</v>
      </c>
      <c r="D99" t="s">
        <v>15</v>
      </c>
      <c r="E99" t="str">
        <f t="shared" si="1"/>
        <v>QldChildFinancial year 2016/17</v>
      </c>
      <c r="F99" s="64">
        <f t="shared" si="22"/>
        <v>2.0190491842728187</v>
      </c>
      <c r="G99" s="65">
        <f t="shared" si="23"/>
        <v>6.6478371097641474E-4</v>
      </c>
    </row>
    <row r="100" spans="2:7" x14ac:dyDescent="0.2">
      <c r="B100" t="s">
        <v>6</v>
      </c>
      <c r="C100" t="s">
        <v>11</v>
      </c>
      <c r="D100" t="s">
        <v>15</v>
      </c>
      <c r="E100" t="str">
        <f t="shared" si="1"/>
        <v>SAChildFinancial year 2016/17</v>
      </c>
      <c r="F100" s="64">
        <f t="shared" si="22"/>
        <v>1.601302698429786</v>
      </c>
      <c r="G100" s="65">
        <f t="shared" si="23"/>
        <v>7.0322086209856024E-4</v>
      </c>
    </row>
    <row r="101" spans="2:7" x14ac:dyDescent="0.2">
      <c r="B101" t="s">
        <v>7</v>
      </c>
      <c r="C101" t="s">
        <v>11</v>
      </c>
      <c r="D101" t="s">
        <v>15</v>
      </c>
      <c r="E101" t="str">
        <f t="shared" si="1"/>
        <v>WAChildFinancial year 2016/17</v>
      </c>
      <c r="F101" s="64">
        <f t="shared" si="22"/>
        <v>1.9502826594244609</v>
      </c>
      <c r="G101" s="65">
        <f t="shared" si="23"/>
        <v>7.040226031872778E-4</v>
      </c>
    </row>
    <row r="102" spans="2:7" x14ac:dyDescent="0.2">
      <c r="B102" t="s">
        <v>8</v>
      </c>
      <c r="C102" t="s">
        <v>11</v>
      </c>
      <c r="D102" t="s">
        <v>15</v>
      </c>
      <c r="E102" t="str">
        <f t="shared" si="1"/>
        <v>TasChildFinancial year 2016/17</v>
      </c>
      <c r="F102" s="64">
        <f t="shared" si="22"/>
        <v>3.6680813278468789</v>
      </c>
      <c r="G102" s="65">
        <f t="shared" si="23"/>
        <v>1.4805219864405114E-3</v>
      </c>
    </row>
    <row r="103" spans="2:7" x14ac:dyDescent="0.2">
      <c r="B103" t="s">
        <v>9</v>
      </c>
      <c r="C103" t="s">
        <v>11</v>
      </c>
      <c r="D103" t="s">
        <v>15</v>
      </c>
      <c r="E103" t="str">
        <f t="shared" si="1"/>
        <v>NTChildFinancial year 2016/17</v>
      </c>
      <c r="F103" s="64">
        <f t="shared" si="22"/>
        <v>2.1212005283074209</v>
      </c>
      <c r="G103" s="65">
        <f t="shared" si="23"/>
        <v>3.0451992971195188E-3</v>
      </c>
    </row>
    <row r="104" spans="2:7" x14ac:dyDescent="0.2">
      <c r="B104" t="s">
        <v>10</v>
      </c>
      <c r="C104" t="s">
        <v>11</v>
      </c>
      <c r="D104" t="s">
        <v>15</v>
      </c>
      <c r="E104" t="str">
        <f t="shared" si="1"/>
        <v>ACTChildFinancial year 2016/17</v>
      </c>
      <c r="F104" s="64">
        <f t="shared" si="22"/>
        <v>2.0978945829230469</v>
      </c>
      <c r="G104" s="65">
        <f t="shared" si="23"/>
        <v>1.7400719814452958E-3</v>
      </c>
    </row>
    <row r="105" spans="2:7" ht="13.5" thickBot="1" x14ac:dyDescent="0.25">
      <c r="B105" t="s">
        <v>16</v>
      </c>
      <c r="C105" t="s">
        <v>11</v>
      </c>
      <c r="D105" t="s">
        <v>15</v>
      </c>
      <c r="E105" t="str">
        <f t="shared" si="1"/>
        <v>TotalChildFinancial year 2016/17</v>
      </c>
      <c r="F105" s="66">
        <f t="shared" si="22"/>
        <v>1.9235976026342925</v>
      </c>
      <c r="G105" s="67">
        <f t="shared" si="23"/>
        <v>7.3133043033876645E-4</v>
      </c>
    </row>
    <row r="106" spans="2:7" x14ac:dyDescent="0.2">
      <c r="B106" t="s">
        <v>3</v>
      </c>
      <c r="C106" t="s">
        <v>11</v>
      </c>
      <c r="D106" t="s">
        <v>20</v>
      </c>
      <c r="E106" t="str">
        <f t="shared" ref="E106:E123" si="24">B106&amp;C106&amp;D106</f>
        <v>NSWChildCalendar year 2017</v>
      </c>
      <c r="F106" s="68">
        <f t="shared" ref="F106:F114" si="25">W20</f>
        <v>1.7860000128954709</v>
      </c>
      <c r="G106" s="69">
        <f t="shared" ref="G106:G114" si="26">AH20</f>
        <v>5.5716934070222201E-4</v>
      </c>
    </row>
    <row r="107" spans="2:7" x14ac:dyDescent="0.2">
      <c r="B107" t="s">
        <v>4</v>
      </c>
      <c r="C107" t="s">
        <v>11</v>
      </c>
      <c r="D107" t="s">
        <v>20</v>
      </c>
      <c r="E107" t="str">
        <f t="shared" si="24"/>
        <v>VicChildCalendar year 2017</v>
      </c>
      <c r="F107" s="70">
        <f t="shared" si="25"/>
        <v>1.5981611971655543</v>
      </c>
      <c r="G107" s="71">
        <f t="shared" si="26"/>
        <v>7.2103767611127829E-4</v>
      </c>
    </row>
    <row r="108" spans="2:7" x14ac:dyDescent="0.2">
      <c r="B108" t="s">
        <v>5</v>
      </c>
      <c r="C108" t="s">
        <v>11</v>
      </c>
      <c r="D108" t="s">
        <v>20</v>
      </c>
      <c r="E108" t="str">
        <f t="shared" si="24"/>
        <v>QldChildCalendar year 2017</v>
      </c>
      <c r="F108" s="70">
        <f t="shared" si="25"/>
        <v>1.9627679587245335</v>
      </c>
      <c r="G108" s="71">
        <f t="shared" si="26"/>
        <v>5.7465829249008264E-4</v>
      </c>
    </row>
    <row r="109" spans="2:7" x14ac:dyDescent="0.2">
      <c r="B109" t="s">
        <v>6</v>
      </c>
      <c r="C109" t="s">
        <v>11</v>
      </c>
      <c r="D109" t="s">
        <v>20</v>
      </c>
      <c r="E109" t="str">
        <f t="shared" si="24"/>
        <v>SAChildCalendar year 2017</v>
      </c>
      <c r="F109" s="70">
        <f t="shared" si="25"/>
        <v>1.8391482955175802</v>
      </c>
      <c r="G109" s="71">
        <f t="shared" si="26"/>
        <v>8.2001126687161242E-4</v>
      </c>
    </row>
    <row r="110" spans="2:7" x14ac:dyDescent="0.2">
      <c r="B110" t="s">
        <v>7</v>
      </c>
      <c r="C110" t="s">
        <v>11</v>
      </c>
      <c r="D110" t="s">
        <v>20</v>
      </c>
      <c r="E110" t="str">
        <f t="shared" si="24"/>
        <v>WAChildCalendar year 2017</v>
      </c>
      <c r="F110" s="70">
        <f t="shared" si="25"/>
        <v>2.1356570887089701</v>
      </c>
      <c r="G110" s="71">
        <f t="shared" si="26"/>
        <v>6.7627062459665725E-4</v>
      </c>
    </row>
    <row r="111" spans="2:7" x14ac:dyDescent="0.2">
      <c r="B111" t="s">
        <v>8</v>
      </c>
      <c r="C111" t="s">
        <v>11</v>
      </c>
      <c r="D111" t="s">
        <v>20</v>
      </c>
      <c r="E111" t="str">
        <f t="shared" si="24"/>
        <v>TasChildCalendar year 2017</v>
      </c>
      <c r="F111" s="70">
        <f t="shared" si="25"/>
        <v>4.5831565700816794</v>
      </c>
      <c r="G111" s="71">
        <f t="shared" si="26"/>
        <v>1.2625253379340371E-3</v>
      </c>
    </row>
    <row r="112" spans="2:7" x14ac:dyDescent="0.2">
      <c r="B112" t="s">
        <v>9</v>
      </c>
      <c r="C112" t="s">
        <v>11</v>
      </c>
      <c r="D112" t="s">
        <v>20</v>
      </c>
      <c r="E112" t="str">
        <f t="shared" si="24"/>
        <v>NTChildCalendar year 2017</v>
      </c>
      <c r="F112" s="70">
        <f t="shared" si="25"/>
        <v>2.1878253447037999</v>
      </c>
      <c r="G112" s="71">
        <f t="shared" si="26"/>
        <v>2.159813463068263E-3</v>
      </c>
    </row>
    <row r="113" spans="2:7" x14ac:dyDescent="0.2">
      <c r="B113" t="s">
        <v>10</v>
      </c>
      <c r="C113" t="s">
        <v>11</v>
      </c>
      <c r="D113" t="s">
        <v>20</v>
      </c>
      <c r="E113" t="str">
        <f t="shared" si="24"/>
        <v>ACTChildCalendar year 2017</v>
      </c>
      <c r="F113" s="70">
        <f t="shared" si="25"/>
        <v>2.1092175003929254</v>
      </c>
      <c r="G113" s="71">
        <f t="shared" si="26"/>
        <v>1.5607983505768613E-3</v>
      </c>
    </row>
    <row r="114" spans="2:7" ht="13.5" thickBot="1" x14ac:dyDescent="0.25">
      <c r="B114" t="s">
        <v>16</v>
      </c>
      <c r="C114" t="s">
        <v>11</v>
      </c>
      <c r="D114" t="s">
        <v>20</v>
      </c>
      <c r="E114" t="str">
        <f t="shared" si="24"/>
        <v>TotalChildCalendar year 2017</v>
      </c>
      <c r="F114" s="70">
        <f t="shared" si="25"/>
        <v>1.9767080057393469</v>
      </c>
      <c r="G114" s="71">
        <f t="shared" si="26"/>
        <v>6.8216764562187933E-4</v>
      </c>
    </row>
    <row r="115" spans="2:7" x14ac:dyDescent="0.2">
      <c r="B115" t="s">
        <v>3</v>
      </c>
      <c r="C115" t="s">
        <v>11</v>
      </c>
      <c r="D115" t="s">
        <v>19</v>
      </c>
      <c r="E115" t="str">
        <f t="shared" si="24"/>
        <v>NSWChildFinancial year 2017/18</v>
      </c>
      <c r="F115" s="72">
        <f t="shared" ref="F115:F123" si="27">X20</f>
        <v>1.7821910162645709</v>
      </c>
      <c r="G115" s="73">
        <f t="shared" ref="G115:G123" si="28">AI20</f>
        <v>5.5002806068491427E-4</v>
      </c>
    </row>
    <row r="116" spans="2:7" x14ac:dyDescent="0.2">
      <c r="B116" t="s">
        <v>4</v>
      </c>
      <c r="C116" t="s">
        <v>11</v>
      </c>
      <c r="D116" t="s">
        <v>19</v>
      </c>
      <c r="E116" t="str">
        <f t="shared" si="24"/>
        <v>VicChildFinancial year 2017/18</v>
      </c>
      <c r="F116" s="74">
        <f t="shared" si="27"/>
        <v>1.5559333554005617</v>
      </c>
      <c r="G116" s="75">
        <f t="shared" si="28"/>
        <v>6.9647893587658602E-4</v>
      </c>
    </row>
    <row r="117" spans="2:7" x14ac:dyDescent="0.2">
      <c r="B117" t="s">
        <v>5</v>
      </c>
      <c r="C117" t="s">
        <v>11</v>
      </c>
      <c r="D117" t="s">
        <v>19</v>
      </c>
      <c r="E117" t="str">
        <f t="shared" si="24"/>
        <v>QldChildFinancial year 2017/18</v>
      </c>
      <c r="F117" s="74">
        <f t="shared" si="27"/>
        <v>1.6655342685784822</v>
      </c>
      <c r="G117" s="75">
        <f t="shared" si="28"/>
        <v>5.6680225620581637E-4</v>
      </c>
    </row>
    <row r="118" spans="2:7" x14ac:dyDescent="0.2">
      <c r="B118" t="s">
        <v>6</v>
      </c>
      <c r="C118" t="s">
        <v>11</v>
      </c>
      <c r="D118" t="s">
        <v>19</v>
      </c>
      <c r="E118" t="str">
        <f t="shared" si="24"/>
        <v>SAChildFinancial year 2017/18</v>
      </c>
      <c r="F118" s="74">
        <f t="shared" si="27"/>
        <v>2.1511211715234189</v>
      </c>
      <c r="G118" s="75">
        <f t="shared" si="28"/>
        <v>9.8201223924516902E-4</v>
      </c>
    </row>
    <row r="119" spans="2:7" x14ac:dyDescent="0.2">
      <c r="B119" t="s">
        <v>7</v>
      </c>
      <c r="C119" t="s">
        <v>11</v>
      </c>
      <c r="D119" t="s">
        <v>19</v>
      </c>
      <c r="E119" t="str">
        <f t="shared" si="24"/>
        <v>WAChildFinancial year 2017/18</v>
      </c>
      <c r="F119" s="74">
        <f t="shared" si="27"/>
        <v>2.1050692997597875</v>
      </c>
      <c r="G119" s="75">
        <f t="shared" si="28"/>
        <v>7.6216352387876312E-4</v>
      </c>
    </row>
    <row r="120" spans="2:7" x14ac:dyDescent="0.2">
      <c r="B120" t="s">
        <v>8</v>
      </c>
      <c r="C120" t="s">
        <v>11</v>
      </c>
      <c r="D120" t="s">
        <v>19</v>
      </c>
      <c r="E120" t="str">
        <f t="shared" si="24"/>
        <v>TasChildFinancial year 2017/18</v>
      </c>
      <c r="F120" s="74">
        <f t="shared" si="27"/>
        <v>4.6789215486046425</v>
      </c>
      <c r="G120" s="75">
        <f t="shared" si="28"/>
        <v>1.4052887855347408E-3</v>
      </c>
    </row>
    <row r="121" spans="2:7" x14ac:dyDescent="0.2">
      <c r="B121" t="s">
        <v>9</v>
      </c>
      <c r="C121" t="s">
        <v>11</v>
      </c>
      <c r="D121" t="s">
        <v>19</v>
      </c>
      <c r="E121" t="str">
        <f t="shared" si="24"/>
        <v>NTChildFinancial year 2017/18</v>
      </c>
      <c r="F121" s="74">
        <f t="shared" si="27"/>
        <v>4.7184601644773236</v>
      </c>
      <c r="G121" s="75">
        <f t="shared" si="28"/>
        <v>1.9000752243013923E-3</v>
      </c>
    </row>
    <row r="122" spans="2:7" x14ac:dyDescent="0.2">
      <c r="B122" t="s">
        <v>10</v>
      </c>
      <c r="C122" t="s">
        <v>11</v>
      </c>
      <c r="D122" t="s">
        <v>19</v>
      </c>
      <c r="E122" t="str">
        <f t="shared" si="24"/>
        <v>ACTChildFinancial year 2017/18</v>
      </c>
      <c r="F122" s="74">
        <f t="shared" si="27"/>
        <v>2.5148026532244105</v>
      </c>
      <c r="G122" s="75">
        <f t="shared" si="28"/>
        <v>1.9035252325051955E-3</v>
      </c>
    </row>
    <row r="123" spans="2:7" ht="13.5" thickBot="1" x14ac:dyDescent="0.25">
      <c r="B123" t="s">
        <v>16</v>
      </c>
      <c r="C123" t="s">
        <v>11</v>
      </c>
      <c r="D123" t="s">
        <v>19</v>
      </c>
      <c r="E123" t="str">
        <f t="shared" si="24"/>
        <v>TotalChildFinancial year 2017/18</v>
      </c>
      <c r="F123" s="76">
        <f t="shared" si="27"/>
        <v>1.9334512967260211</v>
      </c>
      <c r="G123" s="77">
        <f t="shared" si="28"/>
        <v>6.9877331376711881E-4</v>
      </c>
    </row>
    <row r="124" spans="2:7" x14ac:dyDescent="0.2">
      <c r="B124" t="s">
        <v>3</v>
      </c>
      <c r="C124" t="s">
        <v>11</v>
      </c>
      <c r="D124" t="s">
        <v>64</v>
      </c>
      <c r="E124" t="str">
        <f t="shared" ref="E124:E150" si="29">B124&amp;C124&amp;D124</f>
        <v>NSWChildCalendar year 2018</v>
      </c>
      <c r="F124" s="78">
        <f>Y20</f>
        <v>1.733408504256265</v>
      </c>
      <c r="G124" s="35">
        <f>AJ20</f>
        <v>5.4555252015286992E-4</v>
      </c>
    </row>
    <row r="125" spans="2:7" x14ac:dyDescent="0.2">
      <c r="B125" t="s">
        <v>4</v>
      </c>
      <c r="C125" t="s">
        <v>11</v>
      </c>
      <c r="D125" t="s">
        <v>64</v>
      </c>
      <c r="E125" t="str">
        <f t="shared" si="29"/>
        <v>VicChildCalendar year 2018</v>
      </c>
      <c r="F125" s="79">
        <f t="shared" ref="F125:F132" si="30">Y21</f>
        <v>1.6032272559495631</v>
      </c>
      <c r="G125" s="37">
        <f t="shared" ref="G125:G132" si="31">AJ21</f>
        <v>6.9922856755214719E-4</v>
      </c>
    </row>
    <row r="126" spans="2:7" x14ac:dyDescent="0.2">
      <c r="B126" t="s">
        <v>5</v>
      </c>
      <c r="C126" t="s">
        <v>11</v>
      </c>
      <c r="D126" t="s">
        <v>64</v>
      </c>
      <c r="E126" t="str">
        <f t="shared" si="29"/>
        <v>QldChildCalendar year 2018</v>
      </c>
      <c r="F126" s="79">
        <f t="shared" si="30"/>
        <v>1.6536835451658414</v>
      </c>
      <c r="G126" s="37">
        <f t="shared" si="31"/>
        <v>5.6687143619844871E-4</v>
      </c>
    </row>
    <row r="127" spans="2:7" x14ac:dyDescent="0.2">
      <c r="B127" t="s">
        <v>6</v>
      </c>
      <c r="C127" t="s">
        <v>11</v>
      </c>
      <c r="D127" t="s">
        <v>64</v>
      </c>
      <c r="E127" t="str">
        <f t="shared" si="29"/>
        <v>SAChildCalendar year 2018</v>
      </c>
      <c r="F127" s="79">
        <f t="shared" si="30"/>
        <v>3.4755005328295976</v>
      </c>
      <c r="G127" s="37">
        <f t="shared" si="31"/>
        <v>8.5476611856891301E-4</v>
      </c>
    </row>
    <row r="128" spans="2:7" x14ac:dyDescent="0.2">
      <c r="B128" t="s">
        <v>7</v>
      </c>
      <c r="C128" t="s">
        <v>11</v>
      </c>
      <c r="D128" t="s">
        <v>64</v>
      </c>
      <c r="E128" t="str">
        <f t="shared" si="29"/>
        <v>WAChildCalendar year 2018</v>
      </c>
      <c r="F128" s="79">
        <f t="shared" si="30"/>
        <v>1.9665630168677062</v>
      </c>
      <c r="G128" s="37">
        <f t="shared" si="31"/>
        <v>7.2400277267935058E-4</v>
      </c>
    </row>
    <row r="129" spans="2:7" x14ac:dyDescent="0.2">
      <c r="B129" t="s">
        <v>8</v>
      </c>
      <c r="C129" t="s">
        <v>11</v>
      </c>
      <c r="D129" t="s">
        <v>64</v>
      </c>
      <c r="E129" t="str">
        <f t="shared" si="29"/>
        <v>TasChildCalendar year 2018</v>
      </c>
      <c r="F129" s="79">
        <f t="shared" si="30"/>
        <v>3.0453060877413138</v>
      </c>
      <c r="G129" s="37">
        <f t="shared" si="31"/>
        <v>1.3805111312036279E-3</v>
      </c>
    </row>
    <row r="130" spans="2:7" x14ac:dyDescent="0.2">
      <c r="B130" t="s">
        <v>9</v>
      </c>
      <c r="C130" t="s">
        <v>11</v>
      </c>
      <c r="D130" t="s">
        <v>64</v>
      </c>
      <c r="E130" t="str">
        <f t="shared" si="29"/>
        <v>NTChildCalendar year 2018</v>
      </c>
      <c r="F130" s="79">
        <f t="shared" si="30"/>
        <v>4.9562684667005499</v>
      </c>
      <c r="G130" s="37">
        <f t="shared" si="31"/>
        <v>1.5411143168607862E-3</v>
      </c>
    </row>
    <row r="131" spans="2:7" x14ac:dyDescent="0.2">
      <c r="B131" t="s">
        <v>10</v>
      </c>
      <c r="C131" t="s">
        <v>11</v>
      </c>
      <c r="D131" t="s">
        <v>64</v>
      </c>
      <c r="E131" t="str">
        <f t="shared" si="29"/>
        <v>ACTChildCalendar year 2018</v>
      </c>
      <c r="F131" s="79">
        <f t="shared" si="30"/>
        <v>2.3601374276887404</v>
      </c>
      <c r="G131" s="37">
        <f t="shared" si="31"/>
        <v>1.7543412169125955E-3</v>
      </c>
    </row>
    <row r="132" spans="2:7" ht="13.5" thickBot="1" x14ac:dyDescent="0.25">
      <c r="B132" t="s">
        <v>16</v>
      </c>
      <c r="C132" t="s">
        <v>11</v>
      </c>
      <c r="D132" t="s">
        <v>64</v>
      </c>
      <c r="E132" t="str">
        <f t="shared" si="29"/>
        <v>TotalChildCalendar year 2018</v>
      </c>
      <c r="F132" s="80">
        <f t="shared" si="30"/>
        <v>1.9396452558366144</v>
      </c>
      <c r="G132" s="81">
        <f t="shared" si="31"/>
        <v>6.7785036390684435E-4</v>
      </c>
    </row>
    <row r="133" spans="2:7" x14ac:dyDescent="0.2">
      <c r="B133" t="s">
        <v>3</v>
      </c>
      <c r="C133" t="s">
        <v>11</v>
      </c>
      <c r="D133" t="s">
        <v>68</v>
      </c>
      <c r="E133" t="str">
        <f t="shared" si="29"/>
        <v>NSWChildFinancial year 2018/19</v>
      </c>
      <c r="F133" s="88">
        <f>Z20</f>
        <v>1.5470501123985965</v>
      </c>
      <c r="G133" s="88">
        <f>AK20</f>
        <v>5.2686351684812097E-4</v>
      </c>
    </row>
    <row r="134" spans="2:7" x14ac:dyDescent="0.2">
      <c r="B134" t="s">
        <v>4</v>
      </c>
      <c r="C134" t="s">
        <v>11</v>
      </c>
      <c r="D134" t="s">
        <v>68</v>
      </c>
      <c r="E134" t="str">
        <f t="shared" si="29"/>
        <v>VicChildFinancial year 2018/19</v>
      </c>
      <c r="F134" s="88">
        <f t="shared" ref="F134:F141" si="32">Z21</f>
        <v>1.8361588998357739</v>
      </c>
      <c r="G134" s="88">
        <f t="shared" ref="G134:G141" si="33">AK21</f>
        <v>6.0834982537738157E-4</v>
      </c>
    </row>
    <row r="135" spans="2:7" x14ac:dyDescent="0.2">
      <c r="B135" t="s">
        <v>5</v>
      </c>
      <c r="C135" t="s">
        <v>11</v>
      </c>
      <c r="D135" t="s">
        <v>68</v>
      </c>
      <c r="E135" t="str">
        <f t="shared" si="29"/>
        <v>QldChildFinancial year 2018/19</v>
      </c>
      <c r="F135" s="88">
        <f t="shared" si="32"/>
        <v>1.7350015630417279</v>
      </c>
      <c r="G135" s="88">
        <f t="shared" si="33"/>
        <v>5.2467949681089191E-4</v>
      </c>
    </row>
    <row r="136" spans="2:7" x14ac:dyDescent="0.2">
      <c r="B136" t="s">
        <v>6</v>
      </c>
      <c r="C136" t="s">
        <v>11</v>
      </c>
      <c r="D136" t="s">
        <v>68</v>
      </c>
      <c r="E136" t="str">
        <f t="shared" si="29"/>
        <v>SAChildFinancial year 2018/19</v>
      </c>
      <c r="F136" s="88">
        <f t="shared" si="32"/>
        <v>3.2451743154534891</v>
      </c>
      <c r="G136" s="88">
        <f t="shared" si="33"/>
        <v>7.4268846857013021E-4</v>
      </c>
    </row>
    <row r="137" spans="2:7" x14ac:dyDescent="0.2">
      <c r="B137" t="s">
        <v>7</v>
      </c>
      <c r="C137" t="s">
        <v>11</v>
      </c>
      <c r="D137" t="s">
        <v>68</v>
      </c>
      <c r="E137" t="str">
        <f t="shared" si="29"/>
        <v>WAChildFinancial year 2018/19</v>
      </c>
      <c r="F137" s="88">
        <f t="shared" si="32"/>
        <v>2.283037046375755</v>
      </c>
      <c r="G137" s="88">
        <f t="shared" si="33"/>
        <v>6.2783691884426413E-4</v>
      </c>
    </row>
    <row r="138" spans="2:7" x14ac:dyDescent="0.2">
      <c r="B138" t="s">
        <v>8</v>
      </c>
      <c r="C138" t="s">
        <v>11</v>
      </c>
      <c r="D138" t="s">
        <v>68</v>
      </c>
      <c r="E138" t="str">
        <f t="shared" si="29"/>
        <v>TasChildFinancial year 2018/19</v>
      </c>
      <c r="F138" s="88">
        <f t="shared" si="32"/>
        <v>2.8563531985360968</v>
      </c>
      <c r="G138" s="88">
        <f t="shared" si="33"/>
        <v>1.0868786410926569E-3</v>
      </c>
    </row>
    <row r="139" spans="2:7" x14ac:dyDescent="0.2">
      <c r="B139" t="s">
        <v>9</v>
      </c>
      <c r="C139" t="s">
        <v>11</v>
      </c>
      <c r="D139" t="s">
        <v>68</v>
      </c>
      <c r="E139" t="str">
        <f t="shared" si="29"/>
        <v>NTChildFinancial year 2018/19</v>
      </c>
      <c r="F139" s="88">
        <f t="shared" si="32"/>
        <v>3.7625016825845612</v>
      </c>
      <c r="G139" s="88">
        <f t="shared" si="33"/>
        <v>1.3754457954734563E-3</v>
      </c>
    </row>
    <row r="140" spans="2:7" x14ac:dyDescent="0.2">
      <c r="B140" t="s">
        <v>10</v>
      </c>
      <c r="C140" t="s">
        <v>11</v>
      </c>
      <c r="D140" t="s">
        <v>68</v>
      </c>
      <c r="E140" t="str">
        <f t="shared" si="29"/>
        <v>ACTChildFinancial year 2018/19</v>
      </c>
      <c r="F140" s="88">
        <f t="shared" si="32"/>
        <v>2.0933215540194929</v>
      </c>
      <c r="G140" s="88">
        <f t="shared" si="33"/>
        <v>1.3757500989673747E-3</v>
      </c>
    </row>
    <row r="141" spans="2:7" x14ac:dyDescent="0.2">
      <c r="B141" t="s">
        <v>16</v>
      </c>
      <c r="C141" t="s">
        <v>11</v>
      </c>
      <c r="D141" t="s">
        <v>68</v>
      </c>
      <c r="E141" t="str">
        <f t="shared" si="29"/>
        <v>TotalChildFinancial year 2018/19</v>
      </c>
      <c r="F141" s="88">
        <f t="shared" si="32"/>
        <v>1.9342081307979448</v>
      </c>
      <c r="G141" s="88">
        <f t="shared" si="33"/>
        <v>6.0799742835474435E-4</v>
      </c>
    </row>
    <row r="142" spans="2:7" x14ac:dyDescent="0.2">
      <c r="B142" t="s">
        <v>16</v>
      </c>
      <c r="C142" t="s">
        <v>11</v>
      </c>
      <c r="D142" t="s">
        <v>68</v>
      </c>
      <c r="E142" t="str">
        <f t="shared" si="29"/>
        <v>TotalChildFinancial year 2018/19</v>
      </c>
      <c r="F142" s="120">
        <f>AA20</f>
        <v>1.5558950088636625</v>
      </c>
      <c r="G142" s="121">
        <f>AL20</f>
        <v>6.7610280030788554E-4</v>
      </c>
    </row>
    <row r="143" spans="2:7" x14ac:dyDescent="0.2">
      <c r="B143" t="s">
        <v>4</v>
      </c>
      <c r="C143" t="s">
        <v>11</v>
      </c>
      <c r="D143" t="s">
        <v>84</v>
      </c>
      <c r="E143" t="str">
        <f t="shared" si="29"/>
        <v>VicChildCalendar year 2019</v>
      </c>
      <c r="F143" s="120">
        <f t="shared" ref="F143:F150" si="34">AA21</f>
        <v>1.6714403322398363</v>
      </c>
      <c r="G143" s="121">
        <f t="shared" ref="G143:G150" si="35">AL21</f>
        <v>5.4139032843415161E-4</v>
      </c>
    </row>
    <row r="144" spans="2:7" x14ac:dyDescent="0.2">
      <c r="B144" t="s">
        <v>5</v>
      </c>
      <c r="C144" t="s">
        <v>11</v>
      </c>
      <c r="D144" t="s">
        <v>84</v>
      </c>
      <c r="E144" t="str">
        <f t="shared" si="29"/>
        <v>QldChildCalendar year 2019</v>
      </c>
      <c r="F144" s="120">
        <f t="shared" si="34"/>
        <v>1.6566100578852827</v>
      </c>
      <c r="G144" s="121">
        <f t="shared" si="35"/>
        <v>5.6391027921139049E-4</v>
      </c>
    </row>
    <row r="145" spans="2:7" x14ac:dyDescent="0.2">
      <c r="B145" t="s">
        <v>6</v>
      </c>
      <c r="C145" t="s">
        <v>11</v>
      </c>
      <c r="D145" t="s">
        <v>84</v>
      </c>
      <c r="E145" t="str">
        <f t="shared" si="29"/>
        <v>SAChildCalendar year 2019</v>
      </c>
      <c r="F145" s="120">
        <f t="shared" si="34"/>
        <v>1.8658681489833069</v>
      </c>
      <c r="G145" s="121">
        <f t="shared" si="35"/>
        <v>7.8771144238861269E-4</v>
      </c>
    </row>
    <row r="146" spans="2:7" x14ac:dyDescent="0.2">
      <c r="B146" t="s">
        <v>7</v>
      </c>
      <c r="C146" t="s">
        <v>11</v>
      </c>
      <c r="D146" t="s">
        <v>84</v>
      </c>
      <c r="E146" t="str">
        <f t="shared" si="29"/>
        <v>WAChildCalendar year 2019</v>
      </c>
      <c r="F146" s="120">
        <f t="shared" si="34"/>
        <v>2.053928522049103</v>
      </c>
      <c r="G146" s="121">
        <f t="shared" si="35"/>
        <v>6.2768636505950229E-4</v>
      </c>
    </row>
    <row r="147" spans="2:7" x14ac:dyDescent="0.2">
      <c r="B147" t="s">
        <v>8</v>
      </c>
      <c r="C147" t="s">
        <v>11</v>
      </c>
      <c r="D147" t="s">
        <v>84</v>
      </c>
      <c r="E147" t="str">
        <f t="shared" si="29"/>
        <v>TasChildCalendar year 2019</v>
      </c>
      <c r="F147" s="120">
        <f t="shared" si="34"/>
        <v>2.2322271185848073</v>
      </c>
      <c r="G147" s="121">
        <f t="shared" si="35"/>
        <v>9.3910400337867393E-4</v>
      </c>
    </row>
    <row r="148" spans="2:7" x14ac:dyDescent="0.2">
      <c r="B148" t="s">
        <v>9</v>
      </c>
      <c r="C148" t="s">
        <v>11</v>
      </c>
      <c r="D148" t="s">
        <v>84</v>
      </c>
      <c r="E148" t="str">
        <f t="shared" si="29"/>
        <v>NTChildCalendar year 2019</v>
      </c>
      <c r="F148" s="120">
        <f t="shared" si="34"/>
        <v>2.5413186717929741</v>
      </c>
      <c r="G148" s="121">
        <f t="shared" si="35"/>
        <v>1.0122747853494542E-3</v>
      </c>
    </row>
    <row r="149" spans="2:7" x14ac:dyDescent="0.2">
      <c r="B149" t="s">
        <v>10</v>
      </c>
      <c r="C149" t="s">
        <v>11</v>
      </c>
      <c r="D149" t="s">
        <v>84</v>
      </c>
      <c r="E149" t="str">
        <f t="shared" si="29"/>
        <v>ACTChildCalendar year 2019</v>
      </c>
      <c r="F149" s="120">
        <f t="shared" si="34"/>
        <v>1.7561899360019864</v>
      </c>
      <c r="G149" s="121">
        <f t="shared" si="35"/>
        <v>1.2796374358977449E-3</v>
      </c>
    </row>
    <row r="150" spans="2:7" x14ac:dyDescent="0.2">
      <c r="B150" t="s">
        <v>16</v>
      </c>
      <c r="C150" t="s">
        <v>11</v>
      </c>
      <c r="D150" t="s">
        <v>84</v>
      </c>
      <c r="E150" t="str">
        <f t="shared" si="29"/>
        <v>TotalChildCalendar year 2019</v>
      </c>
      <c r="F150" s="120">
        <f t="shared" si="34"/>
        <v>1.7499580213843988</v>
      </c>
      <c r="G150" s="121">
        <f t="shared" si="35"/>
        <v>6.3999332970512241E-4</v>
      </c>
    </row>
  </sheetData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G37"/>
  <sheetViews>
    <sheetView tabSelected="1" workbookViewId="0">
      <selection activeCell="M25" sqref="M25"/>
    </sheetView>
  </sheetViews>
  <sheetFormatPr defaultRowHeight="12.75" x14ac:dyDescent="0.2"/>
  <cols>
    <col min="1" max="1" width="5.28515625" customWidth="1"/>
    <col min="2" max="2" width="13.7109375" customWidth="1"/>
    <col min="3" max="3" width="16.140625" customWidth="1"/>
    <col min="4" max="4" width="10.28515625" customWidth="1"/>
    <col min="5" max="5" width="13.140625" customWidth="1"/>
    <col min="6" max="6" width="14" customWidth="1"/>
    <col min="7" max="7" width="10.140625" customWidth="1"/>
    <col min="8" max="8" width="17.28515625" hidden="1" customWidth="1"/>
    <col min="9" max="12" width="18" hidden="1" customWidth="1"/>
    <col min="13" max="13" width="21.140625" bestFit="1" customWidth="1"/>
    <col min="14" max="14" width="9.85546875" customWidth="1"/>
    <col min="15" max="15" width="9.140625" customWidth="1"/>
    <col min="16" max="16" width="27.7109375" customWidth="1"/>
    <col min="21" max="21" width="8.85546875" style="3"/>
    <col min="22" max="22" width="17.28515625" style="3" customWidth="1"/>
    <col min="23" max="27" width="8.85546875" style="3"/>
    <col min="28" max="28" width="13.85546875" style="3" customWidth="1"/>
    <col min="29" max="33" width="8.85546875" style="3"/>
  </cols>
  <sheetData>
    <row r="1" spans="2:4" x14ac:dyDescent="0.2">
      <c r="B1" s="6"/>
      <c r="C1" s="7"/>
    </row>
    <row r="2" spans="2:4" x14ac:dyDescent="0.2">
      <c r="B2" s="6"/>
      <c r="C2" s="7"/>
    </row>
    <row r="3" spans="2:4" ht="15" x14ac:dyDescent="0.2">
      <c r="B3" s="8"/>
      <c r="C3" s="8"/>
      <c r="D3" s="8"/>
    </row>
    <row r="4" spans="2:4" ht="15" x14ac:dyDescent="0.2">
      <c r="B4" s="8"/>
      <c r="C4" s="8"/>
      <c r="D4" s="8"/>
    </row>
    <row r="19" spans="2:16" ht="15.75" customHeight="1" x14ac:dyDescent="0.2"/>
    <row r="21" spans="2:16" x14ac:dyDescent="0.2">
      <c r="B21" s="123" t="str">
        <f>'Options &amp; WEFF across juris'!$L$16</f>
        <v>Calendar year 2019</v>
      </c>
      <c r="C21" s="123"/>
      <c r="D21" s="9"/>
      <c r="E21" s="123" t="str">
        <f>'Options &amp; WEFF across juris'!$L$16</f>
        <v>Calendar year 2019</v>
      </c>
      <c r="F21" s="123"/>
      <c r="G21" s="9"/>
    </row>
    <row r="22" spans="2:16" x14ac:dyDescent="0.2">
      <c r="B22" s="124" t="str">
        <f>'Options &amp; WEFF across juris'!$I$16</f>
        <v>Adult</v>
      </c>
      <c r="C22" s="124"/>
      <c r="D22" s="9"/>
      <c r="E22" s="124" t="str">
        <f>'Options &amp; WEFF across juris'!$I$16</f>
        <v>Adult</v>
      </c>
      <c r="F22" s="124"/>
      <c r="G22" s="9"/>
    </row>
    <row r="23" spans="2:16" x14ac:dyDescent="0.2">
      <c r="B23" s="124" t="str">
        <f>'Options &amp; WEFF across juris'!B16</f>
        <v>NSW</v>
      </c>
      <c r="C23" s="124"/>
      <c r="D23" s="9"/>
      <c r="E23" s="124" t="str">
        <f>'Options &amp; WEFF across juris'!E16</f>
        <v>Vic</v>
      </c>
      <c r="F23" s="124"/>
      <c r="G23" s="9"/>
    </row>
    <row r="24" spans="2:16" ht="16.149999999999999" customHeight="1" x14ac:dyDescent="0.2">
      <c r="B24" s="21" t="s">
        <v>43</v>
      </c>
      <c r="C24" s="21" t="s">
        <v>45</v>
      </c>
      <c r="D24" s="19"/>
      <c r="E24" s="18" t="s">
        <v>44</v>
      </c>
      <c r="F24" s="18" t="s">
        <v>46</v>
      </c>
      <c r="G24" s="9"/>
      <c r="H24" s="20" t="s">
        <v>38</v>
      </c>
      <c r="I24" s="20" t="s">
        <v>40</v>
      </c>
      <c r="J24" s="20" t="s">
        <v>39</v>
      </c>
      <c r="K24" s="20" t="s">
        <v>41</v>
      </c>
      <c r="L24" s="18" t="s">
        <v>42</v>
      </c>
      <c r="M24" s="10" t="s">
        <v>37</v>
      </c>
      <c r="N24" s="10" t="s">
        <v>0</v>
      </c>
      <c r="O24" s="10" t="s">
        <v>1</v>
      </c>
      <c r="P24" s="10" t="s">
        <v>50</v>
      </c>
    </row>
    <row r="25" spans="2:16" x14ac:dyDescent="0.2">
      <c r="B25" s="11">
        <v>0.75</v>
      </c>
      <c r="C25" s="12">
        <v>50000</v>
      </c>
      <c r="D25" s="9"/>
      <c r="E25" s="11">
        <v>0.6</v>
      </c>
      <c r="F25" s="12">
        <v>1800000</v>
      </c>
      <c r="G25" s="9"/>
      <c r="H25" s="22">
        <f t="shared" ref="H25" si="0">IF(F25&lt;&gt;"",C25/B25*frac_1,"")</f>
        <v>61.55478193631405</v>
      </c>
      <c r="I25" s="23">
        <f t="shared" ref="I25" si="1">IF(F25&lt;&gt;"",SQRT(B25*(1-B25)/H25*WEFF_1),"")</f>
        <v>6.1679143199397185E-2</v>
      </c>
      <c r="J25" s="22">
        <f t="shared" ref="J25" si="2">IF(F25&lt;&gt;"",F25/E25*frac_2,"")</f>
        <v>2565.3413126345336</v>
      </c>
      <c r="K25" s="23">
        <f t="shared" ref="K25" si="3">IF(F25&lt;&gt;"",SQRT(E25*(1-E25)/J25*WEFF_2),"")</f>
        <v>1.0767328263016004E-2</v>
      </c>
      <c r="L25" s="23">
        <f>IF(F25&lt;&gt;"",SQRT(I25^2+K25^2),"")</f>
        <v>6.2611916307802676E-2</v>
      </c>
      <c r="M25" s="13">
        <f>IF(F25&lt;&gt;"",ABS(B25-E25),"")</f>
        <v>0.15000000000000002</v>
      </c>
      <c r="N25" s="14">
        <f>IF(F25&lt;&gt;"",M25/L25,"")</f>
        <v>2.3957100955446573</v>
      </c>
      <c r="O25" s="14">
        <f>IF(F25&lt;&gt;"",2*(1-NORMDIST(N25,0,1,1)),"")</f>
        <v>1.658820456795751E-2</v>
      </c>
      <c r="P25" s="14" t="str">
        <f>IF(F25&lt;&gt;"",IF(O25&lt;=0.05,"Statistically significant","Not statistically significant"),"")</f>
        <v>Statistically significant</v>
      </c>
    </row>
    <row r="26" spans="2:16" x14ac:dyDescent="0.2">
      <c r="B26" s="11"/>
      <c r="C26" s="12"/>
      <c r="D26" s="9"/>
      <c r="E26" s="11"/>
      <c r="F26" s="12"/>
      <c r="G26" s="9"/>
      <c r="H26" s="22" t="str">
        <f t="shared" ref="H26:H35" si="4">IF(F26&lt;&gt;"",C26/B26*frac_1,"")</f>
        <v/>
      </c>
      <c r="I26" s="23" t="str">
        <f t="shared" ref="I26:I35" si="5">IF(F26&lt;&gt;"",SQRT(B26*(1-B26)/H26*WEFF_1),"")</f>
        <v/>
      </c>
      <c r="J26" s="22" t="str">
        <f t="shared" ref="J26:J35" si="6">IF(F26&lt;&gt;"",F26/E26*frac_2,"")</f>
        <v/>
      </c>
      <c r="K26" s="23" t="str">
        <f t="shared" ref="K26:K35" si="7">IF(F26&lt;&gt;"",SQRT(E26*(1-E26)/J26*WEFF_2),"")</f>
        <v/>
      </c>
      <c r="L26" s="23" t="str">
        <f t="shared" ref="L26:L35" si="8">IF(F26&lt;&gt;"",SQRT(I26^2+K26^2),"")</f>
        <v/>
      </c>
      <c r="M26" s="13" t="str">
        <f t="shared" ref="M26:M35" si="9">IF(F26&lt;&gt;"",ABS(B26-E26),"")</f>
        <v/>
      </c>
      <c r="N26" s="14" t="str">
        <f t="shared" ref="N26:N35" si="10">IF(F26&lt;&gt;"",M26/L26,"")</f>
        <v/>
      </c>
      <c r="O26" s="14" t="str">
        <f t="shared" ref="O26:O35" si="11">IF(F26&lt;&gt;"",2*(1-NORMDIST(N26,0,1,1)),"")</f>
        <v/>
      </c>
      <c r="P26" s="14" t="str">
        <f t="shared" ref="P26:P35" si="12">IF(F26&lt;&gt;"",IF(O26&lt;=0.05,"Statistically significant","Not statistically significant"),"")</f>
        <v/>
      </c>
    </row>
    <row r="27" spans="2:16" x14ac:dyDescent="0.2">
      <c r="B27" s="11"/>
      <c r="C27" s="12"/>
      <c r="D27" s="9"/>
      <c r="E27" s="11"/>
      <c r="F27" s="12"/>
      <c r="G27" s="9"/>
      <c r="H27" s="22" t="str">
        <f t="shared" si="4"/>
        <v/>
      </c>
      <c r="I27" s="23" t="str">
        <f t="shared" si="5"/>
        <v/>
      </c>
      <c r="J27" s="22" t="str">
        <f t="shared" si="6"/>
        <v/>
      </c>
      <c r="K27" s="23" t="str">
        <f t="shared" si="7"/>
        <v/>
      </c>
      <c r="L27" s="23" t="str">
        <f t="shared" si="8"/>
        <v/>
      </c>
      <c r="M27" s="13" t="str">
        <f t="shared" si="9"/>
        <v/>
      </c>
      <c r="N27" s="14" t="str">
        <f t="shared" si="10"/>
        <v/>
      </c>
      <c r="O27" s="14" t="str">
        <f t="shared" si="11"/>
        <v/>
      </c>
      <c r="P27" s="14" t="str">
        <f t="shared" si="12"/>
        <v/>
      </c>
    </row>
    <row r="28" spans="2:16" x14ac:dyDescent="0.2">
      <c r="B28" s="11"/>
      <c r="C28" s="12"/>
      <c r="D28" s="9"/>
      <c r="E28" s="11"/>
      <c r="F28" s="12"/>
      <c r="G28" s="9"/>
      <c r="H28" s="22" t="str">
        <f t="shared" si="4"/>
        <v/>
      </c>
      <c r="I28" s="23" t="str">
        <f t="shared" si="5"/>
        <v/>
      </c>
      <c r="J28" s="22" t="str">
        <f t="shared" si="6"/>
        <v/>
      </c>
      <c r="K28" s="23" t="str">
        <f t="shared" si="7"/>
        <v/>
      </c>
      <c r="L28" s="23" t="str">
        <f t="shared" si="8"/>
        <v/>
      </c>
      <c r="M28" s="13" t="str">
        <f t="shared" si="9"/>
        <v/>
      </c>
      <c r="N28" s="14" t="str">
        <f t="shared" si="10"/>
        <v/>
      </c>
      <c r="O28" s="14" t="str">
        <f t="shared" si="11"/>
        <v/>
      </c>
      <c r="P28" s="14" t="str">
        <f t="shared" si="12"/>
        <v/>
      </c>
    </row>
    <row r="29" spans="2:16" x14ac:dyDescent="0.2">
      <c r="B29" s="11"/>
      <c r="C29" s="12"/>
      <c r="D29" s="9"/>
      <c r="E29" s="11"/>
      <c r="F29" s="12"/>
      <c r="G29" s="9"/>
      <c r="H29" s="22" t="str">
        <f t="shared" si="4"/>
        <v/>
      </c>
      <c r="I29" s="23" t="str">
        <f t="shared" si="5"/>
        <v/>
      </c>
      <c r="J29" s="22" t="str">
        <f t="shared" si="6"/>
        <v/>
      </c>
      <c r="K29" s="23" t="str">
        <f t="shared" si="7"/>
        <v/>
      </c>
      <c r="L29" s="23" t="str">
        <f t="shared" si="8"/>
        <v/>
      </c>
      <c r="M29" s="13" t="str">
        <f t="shared" si="9"/>
        <v/>
      </c>
      <c r="N29" s="14" t="str">
        <f t="shared" si="10"/>
        <v/>
      </c>
      <c r="O29" s="14" t="str">
        <f t="shared" si="11"/>
        <v/>
      </c>
      <c r="P29" s="14" t="str">
        <f t="shared" si="12"/>
        <v/>
      </c>
    </row>
    <row r="30" spans="2:16" x14ac:dyDescent="0.2">
      <c r="B30" s="11"/>
      <c r="C30" s="12"/>
      <c r="D30" s="9"/>
      <c r="E30" s="11"/>
      <c r="F30" s="12"/>
      <c r="G30" s="9"/>
      <c r="H30" s="22" t="str">
        <f t="shared" si="4"/>
        <v/>
      </c>
      <c r="I30" s="23" t="str">
        <f t="shared" si="5"/>
        <v/>
      </c>
      <c r="J30" s="22" t="str">
        <f t="shared" si="6"/>
        <v/>
      </c>
      <c r="K30" s="23" t="str">
        <f t="shared" si="7"/>
        <v/>
      </c>
      <c r="L30" s="23" t="str">
        <f t="shared" si="8"/>
        <v/>
      </c>
      <c r="M30" s="13" t="str">
        <f t="shared" si="9"/>
        <v/>
      </c>
      <c r="N30" s="14" t="str">
        <f t="shared" si="10"/>
        <v/>
      </c>
      <c r="O30" s="14" t="str">
        <f t="shared" si="11"/>
        <v/>
      </c>
      <c r="P30" s="14" t="str">
        <f t="shared" si="12"/>
        <v/>
      </c>
    </row>
    <row r="31" spans="2:16" x14ac:dyDescent="0.2">
      <c r="B31" s="11"/>
      <c r="C31" s="12"/>
      <c r="D31" s="9"/>
      <c r="E31" s="11"/>
      <c r="F31" s="12"/>
      <c r="G31" s="9"/>
      <c r="H31" s="22" t="str">
        <f t="shared" si="4"/>
        <v/>
      </c>
      <c r="I31" s="23" t="str">
        <f t="shared" si="5"/>
        <v/>
      </c>
      <c r="J31" s="22" t="str">
        <f t="shared" si="6"/>
        <v/>
      </c>
      <c r="K31" s="23" t="str">
        <f t="shared" si="7"/>
        <v/>
      </c>
      <c r="L31" s="23" t="str">
        <f t="shared" si="8"/>
        <v/>
      </c>
      <c r="M31" s="13" t="str">
        <f t="shared" si="9"/>
        <v/>
      </c>
      <c r="N31" s="14" t="str">
        <f t="shared" si="10"/>
        <v/>
      </c>
      <c r="O31" s="14" t="str">
        <f t="shared" si="11"/>
        <v/>
      </c>
      <c r="P31" s="14" t="str">
        <f t="shared" si="12"/>
        <v/>
      </c>
    </row>
    <row r="32" spans="2:16" x14ac:dyDescent="0.2">
      <c r="B32" s="11"/>
      <c r="C32" s="12"/>
      <c r="D32" s="9"/>
      <c r="E32" s="11"/>
      <c r="F32" s="12"/>
      <c r="G32" s="9"/>
      <c r="H32" s="22" t="str">
        <f t="shared" si="4"/>
        <v/>
      </c>
      <c r="I32" s="23" t="str">
        <f t="shared" si="5"/>
        <v/>
      </c>
      <c r="J32" s="22" t="str">
        <f t="shared" si="6"/>
        <v/>
      </c>
      <c r="K32" s="23" t="str">
        <f t="shared" si="7"/>
        <v/>
      </c>
      <c r="L32" s="23" t="str">
        <f t="shared" si="8"/>
        <v/>
      </c>
      <c r="M32" s="13" t="str">
        <f t="shared" si="9"/>
        <v/>
      </c>
      <c r="N32" s="14" t="str">
        <f t="shared" si="10"/>
        <v/>
      </c>
      <c r="O32" s="14" t="str">
        <f t="shared" si="11"/>
        <v/>
      </c>
      <c r="P32" s="14" t="str">
        <f t="shared" si="12"/>
        <v/>
      </c>
    </row>
    <row r="33" spans="2:16" x14ac:dyDescent="0.2">
      <c r="B33" s="11"/>
      <c r="C33" s="12"/>
      <c r="D33" s="9"/>
      <c r="E33" s="11"/>
      <c r="F33" s="12"/>
      <c r="G33" s="9"/>
      <c r="H33" s="22" t="str">
        <f t="shared" si="4"/>
        <v/>
      </c>
      <c r="I33" s="23" t="str">
        <f t="shared" si="5"/>
        <v/>
      </c>
      <c r="J33" s="22" t="str">
        <f t="shared" si="6"/>
        <v/>
      </c>
      <c r="K33" s="23" t="str">
        <f t="shared" si="7"/>
        <v/>
      </c>
      <c r="L33" s="23" t="str">
        <f t="shared" si="8"/>
        <v/>
      </c>
      <c r="M33" s="13" t="str">
        <f t="shared" si="9"/>
        <v/>
      </c>
      <c r="N33" s="14" t="str">
        <f t="shared" si="10"/>
        <v/>
      </c>
      <c r="O33" s="14" t="str">
        <f t="shared" si="11"/>
        <v/>
      </c>
      <c r="P33" s="14" t="str">
        <f t="shared" si="12"/>
        <v/>
      </c>
    </row>
    <row r="34" spans="2:16" x14ac:dyDescent="0.2">
      <c r="B34" s="11"/>
      <c r="C34" s="12"/>
      <c r="D34" s="9"/>
      <c r="E34" s="11"/>
      <c r="F34" s="12"/>
      <c r="G34" s="9"/>
      <c r="H34" s="22" t="str">
        <f t="shared" si="4"/>
        <v/>
      </c>
      <c r="I34" s="23" t="str">
        <f t="shared" si="5"/>
        <v/>
      </c>
      <c r="J34" s="22" t="str">
        <f t="shared" si="6"/>
        <v/>
      </c>
      <c r="K34" s="23" t="str">
        <f t="shared" si="7"/>
        <v/>
      </c>
      <c r="L34" s="23" t="str">
        <f t="shared" si="8"/>
        <v/>
      </c>
      <c r="M34" s="13" t="str">
        <f t="shared" si="9"/>
        <v/>
      </c>
      <c r="N34" s="14" t="str">
        <f t="shared" si="10"/>
        <v/>
      </c>
      <c r="O34" s="14" t="str">
        <f t="shared" si="11"/>
        <v/>
      </c>
      <c r="P34" s="14" t="str">
        <f t="shared" si="12"/>
        <v/>
      </c>
    </row>
    <row r="35" spans="2:16" x14ac:dyDescent="0.2">
      <c r="B35" s="11"/>
      <c r="C35" s="12"/>
      <c r="D35" s="9"/>
      <c r="E35" s="11"/>
      <c r="F35" s="12"/>
      <c r="G35" s="9"/>
      <c r="H35" s="22" t="str">
        <f t="shared" si="4"/>
        <v/>
      </c>
      <c r="I35" s="23" t="str">
        <f t="shared" si="5"/>
        <v/>
      </c>
      <c r="J35" s="22" t="str">
        <f t="shared" si="6"/>
        <v/>
      </c>
      <c r="K35" s="23" t="str">
        <f t="shared" si="7"/>
        <v/>
      </c>
      <c r="L35" s="23" t="str">
        <f t="shared" si="8"/>
        <v/>
      </c>
      <c r="M35" s="13" t="str">
        <f t="shared" si="9"/>
        <v/>
      </c>
      <c r="N35" s="14" t="str">
        <f t="shared" si="10"/>
        <v/>
      </c>
      <c r="O35" s="14" t="str">
        <f t="shared" si="11"/>
        <v/>
      </c>
      <c r="P35" s="14" t="str">
        <f t="shared" si="12"/>
        <v/>
      </c>
    </row>
    <row r="37" spans="2:16" x14ac:dyDescent="0.2">
      <c r="J37" s="24"/>
    </row>
  </sheetData>
  <mergeCells count="6">
    <mergeCell ref="E21:F21"/>
    <mergeCell ref="E22:F22"/>
    <mergeCell ref="B21:C21"/>
    <mergeCell ref="B22:C22"/>
    <mergeCell ref="B23:C23"/>
    <mergeCell ref="E23:F23"/>
  </mergeCells>
  <pageMargins left="0.7" right="0.7" top="0.75" bottom="0.75" header="0.3" footer="0.3"/>
  <pageSetup paperSize="9" orientation="portrait" verticalDpi="597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autoLine="0" autoPict="0">
                <anchor moveWithCells="1">
                  <from>
                    <xdr:col>3</xdr:col>
                    <xdr:colOff>19050</xdr:colOff>
                    <xdr:row>15</xdr:row>
                    <xdr:rowOff>161925</xdr:rowOff>
                  </from>
                  <to>
                    <xdr:col>4</xdr:col>
                    <xdr:colOff>628650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Drop Down 2">
              <controlPr defaultSize="0" autoLine="0" autoPict="0">
                <anchor moveWithCells="1">
                  <from>
                    <xdr:col>3</xdr:col>
                    <xdr:colOff>28575</xdr:colOff>
                    <xdr:row>13</xdr:row>
                    <xdr:rowOff>161925</xdr:rowOff>
                  </from>
                  <to>
                    <xdr:col>4</xdr:col>
                    <xdr:colOff>628650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Drop Down 5">
              <controlPr defaultSize="0" autoLine="0" autoPict="0">
                <anchor moveWithCells="1">
                  <from>
                    <xdr:col>2</xdr:col>
                    <xdr:colOff>19050</xdr:colOff>
                    <xdr:row>18</xdr:row>
                    <xdr:rowOff>9525</xdr:rowOff>
                  </from>
                  <to>
                    <xdr:col>3</xdr:col>
                    <xdr:colOff>9525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7" name="Drop Down 6">
              <controlPr defaultSize="0" autoLine="0" autoPict="0">
                <anchor moveWithCells="1">
                  <from>
                    <xdr:col>5</xdr:col>
                    <xdr:colOff>19050</xdr:colOff>
                    <xdr:row>18</xdr:row>
                    <xdr:rowOff>9525</xdr:rowOff>
                  </from>
                  <to>
                    <xdr:col>6</xdr:col>
                    <xdr:colOff>47625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G37"/>
  <sheetViews>
    <sheetView zoomScaleNormal="100" workbookViewId="0">
      <selection activeCell="M25" sqref="M25"/>
    </sheetView>
  </sheetViews>
  <sheetFormatPr defaultRowHeight="12.75" x14ac:dyDescent="0.2"/>
  <cols>
    <col min="1" max="1" width="5.28515625" customWidth="1"/>
    <col min="2" max="2" width="13.7109375" customWidth="1"/>
    <col min="3" max="3" width="16" customWidth="1"/>
    <col min="4" max="4" width="10.28515625" customWidth="1"/>
    <col min="5" max="5" width="13.140625" customWidth="1"/>
    <col min="6" max="6" width="15.85546875" customWidth="1"/>
    <col min="7" max="7" width="10.140625" customWidth="1"/>
    <col min="8" max="8" width="17.28515625" hidden="1" customWidth="1"/>
    <col min="9" max="12" width="18" hidden="1" customWidth="1"/>
    <col min="13" max="13" width="21.140625" bestFit="1" customWidth="1"/>
    <col min="14" max="14" width="9.85546875" customWidth="1"/>
    <col min="15" max="15" width="9.140625" customWidth="1"/>
    <col min="16" max="16" width="27.7109375" customWidth="1"/>
    <col min="21" max="21" width="8.85546875" style="3"/>
    <col min="22" max="22" width="17.28515625" style="3" customWidth="1"/>
    <col min="23" max="27" width="8.85546875" style="3"/>
    <col min="28" max="28" width="13.85546875" style="3" customWidth="1"/>
    <col min="29" max="33" width="8.85546875" style="3"/>
  </cols>
  <sheetData>
    <row r="1" spans="2:18" x14ac:dyDescent="0.2">
      <c r="B1" s="6"/>
      <c r="C1" s="7"/>
    </row>
    <row r="2" spans="2:18" x14ac:dyDescent="0.2">
      <c r="B2" s="6"/>
      <c r="C2" s="7"/>
      <c r="R2" s="122"/>
    </row>
    <row r="3" spans="2:18" ht="15" x14ac:dyDescent="0.2">
      <c r="B3" s="8"/>
      <c r="C3" s="8"/>
      <c r="D3" s="8"/>
    </row>
    <row r="4" spans="2:18" ht="15" x14ac:dyDescent="0.2">
      <c r="B4" s="8"/>
      <c r="C4" s="8"/>
      <c r="D4" s="8"/>
    </row>
    <row r="21" spans="2:16" x14ac:dyDescent="0.2">
      <c r="B21" s="123" t="str">
        <f>'Options and WEFFS across time'!H17</f>
        <v>Financial year 2016/17</v>
      </c>
      <c r="C21" s="123"/>
      <c r="D21" s="9"/>
      <c r="E21" s="124" t="str">
        <f>'Options and WEFFS across time'!H18</f>
        <v>Financial year 2017/18</v>
      </c>
      <c r="F21" s="124"/>
      <c r="G21" s="9"/>
    </row>
    <row r="22" spans="2:16" x14ac:dyDescent="0.2">
      <c r="B22" s="124" t="str">
        <f>'Options and WEFFS across time'!$E$15&amp;" estimates"</f>
        <v>Adult estimates</v>
      </c>
      <c r="C22" s="124"/>
      <c r="D22" s="9"/>
      <c r="E22" s="124" t="str">
        <f>'Options and WEFFS across time'!$E$15&amp;" estimates"</f>
        <v>Adult estimates</v>
      </c>
      <c r="F22" s="124"/>
      <c r="G22" s="9"/>
    </row>
    <row r="23" spans="2:16" x14ac:dyDescent="0.2">
      <c r="B23" s="124" t="str">
        <f>'Options and WEFFS across time'!B15</f>
        <v>Vic</v>
      </c>
      <c r="C23" s="124"/>
      <c r="D23" s="9"/>
      <c r="E23" s="125" t="str">
        <f>'Options and WEFFS across time'!B15</f>
        <v>Vic</v>
      </c>
      <c r="F23" s="125"/>
      <c r="G23" s="9"/>
    </row>
    <row r="24" spans="2:16" ht="16.149999999999999" customHeight="1" x14ac:dyDescent="0.2">
      <c r="B24" s="21" t="s">
        <v>43</v>
      </c>
      <c r="C24" s="21" t="s">
        <v>45</v>
      </c>
      <c r="D24" s="19"/>
      <c r="E24" s="18" t="s">
        <v>44</v>
      </c>
      <c r="F24" s="18" t="s">
        <v>46</v>
      </c>
      <c r="G24" s="9"/>
      <c r="H24" s="20" t="s">
        <v>38</v>
      </c>
      <c r="I24" s="20" t="s">
        <v>40</v>
      </c>
      <c r="J24" s="20" t="s">
        <v>39</v>
      </c>
      <c r="K24" s="20" t="s">
        <v>41</v>
      </c>
      <c r="L24" s="18" t="s">
        <v>42</v>
      </c>
      <c r="M24" s="10" t="s">
        <v>37</v>
      </c>
      <c r="N24" s="10" t="s">
        <v>0</v>
      </c>
      <c r="O24" s="10" t="s">
        <v>1</v>
      </c>
      <c r="P24" s="10" t="s">
        <v>50</v>
      </c>
    </row>
    <row r="25" spans="2:16" x14ac:dyDescent="0.2">
      <c r="B25" s="11">
        <v>0.6</v>
      </c>
      <c r="C25" s="12">
        <v>600000</v>
      </c>
      <c r="D25" s="9"/>
      <c r="E25" s="11">
        <v>0.68</v>
      </c>
      <c r="F25" s="12">
        <v>680000</v>
      </c>
      <c r="G25" s="9"/>
      <c r="H25" s="22">
        <f t="shared" ref="H25:H35" si="0">IF(F25&lt;&gt;"",C25/B25*frac_3,"")</f>
        <v>942.20236387322916</v>
      </c>
      <c r="I25" s="23">
        <f t="shared" ref="I25:I35" si="1">IF(F25&lt;&gt;"",SQRT(B25*(1-B25)/H25*WEFF_3),"")</f>
        <v>1.9079012866592793E-2</v>
      </c>
      <c r="J25" s="22">
        <f t="shared" ref="J25:J35" si="2">IF(F25&lt;&gt;"",F25/E25*frac_4,"")</f>
        <v>952.13755275753897</v>
      </c>
      <c r="K25" s="23">
        <f t="shared" ref="K25:K35" si="3">IF(F25&lt;&gt;"",SQRT(E25*(1-E25)/J25*WEFF_4),"")</f>
        <v>1.7880492706935727E-2</v>
      </c>
      <c r="L25" s="23">
        <f>IF(F25&lt;&gt;"",SQRT(I25^2+K25^2),"")</f>
        <v>2.6148054447824511E-2</v>
      </c>
      <c r="M25" s="13">
        <f>IF(F25&lt;&gt;"",ABS(B25-E25),"")</f>
        <v>8.0000000000000071E-2</v>
      </c>
      <c r="N25" s="14">
        <f>IF(F25&lt;&gt;"",M25/L25,"")</f>
        <v>3.0595010485247012</v>
      </c>
      <c r="O25" s="14">
        <f>IF(F25&lt;&gt;"",2*(1-NORMDIST(N25,0,1,1)),"")</f>
        <v>2.217060115883962E-3</v>
      </c>
      <c r="P25" s="14" t="str">
        <f>IF(F25&lt;&gt;"",IF(O25&lt;=0.05,"Statistically significant","Not statistically significant"),"")</f>
        <v>Statistically significant</v>
      </c>
    </row>
    <row r="26" spans="2:16" x14ac:dyDescent="0.2">
      <c r="B26" s="11"/>
      <c r="C26" s="12"/>
      <c r="D26" s="9"/>
      <c r="E26" s="11"/>
      <c r="F26" s="12"/>
      <c r="G26" s="9"/>
      <c r="H26" s="22" t="str">
        <f t="shared" si="0"/>
        <v/>
      </c>
      <c r="I26" s="23" t="str">
        <f t="shared" si="1"/>
        <v/>
      </c>
      <c r="J26" s="22" t="str">
        <f t="shared" si="2"/>
        <v/>
      </c>
      <c r="K26" s="23" t="str">
        <f t="shared" si="3"/>
        <v/>
      </c>
      <c r="L26" s="23" t="str">
        <f t="shared" ref="L26:L35" si="4">IF(F26&lt;&gt;"",SQRT(I26^2+K26^2),"")</f>
        <v/>
      </c>
      <c r="M26" s="13" t="str">
        <f t="shared" ref="M26:M35" si="5">IF(F26&lt;&gt;"",ABS(B26-E26),"")</f>
        <v/>
      </c>
      <c r="N26" s="14" t="str">
        <f t="shared" ref="N26:N35" si="6">IF(F26&lt;&gt;"",M26/L26,"")</f>
        <v/>
      </c>
      <c r="O26" s="14" t="str">
        <f t="shared" ref="O26:O35" si="7">IF(F26&lt;&gt;"",2*(1-NORMDIST(N26,0,1,1)),"")</f>
        <v/>
      </c>
      <c r="P26" s="14" t="str">
        <f t="shared" ref="P26:P35" si="8">IF(F26&lt;&gt;"",IF(O26&lt;=0.05,"Statistically significant","Not statistically significant"),"")</f>
        <v/>
      </c>
    </row>
    <row r="27" spans="2:16" x14ac:dyDescent="0.2">
      <c r="B27" s="11"/>
      <c r="C27" s="12"/>
      <c r="D27" s="9"/>
      <c r="E27" s="11"/>
      <c r="F27" s="12"/>
      <c r="G27" s="9"/>
      <c r="H27" s="22" t="str">
        <f t="shared" si="0"/>
        <v/>
      </c>
      <c r="I27" s="23" t="str">
        <f t="shared" si="1"/>
        <v/>
      </c>
      <c r="J27" s="22" t="str">
        <f t="shared" si="2"/>
        <v/>
      </c>
      <c r="K27" s="23" t="str">
        <f t="shared" si="3"/>
        <v/>
      </c>
      <c r="L27" s="23" t="str">
        <f t="shared" si="4"/>
        <v/>
      </c>
      <c r="M27" s="13" t="str">
        <f t="shared" si="5"/>
        <v/>
      </c>
      <c r="N27" s="14" t="str">
        <f t="shared" si="6"/>
        <v/>
      </c>
      <c r="O27" s="14" t="str">
        <f t="shared" si="7"/>
        <v/>
      </c>
      <c r="P27" s="14" t="str">
        <f t="shared" si="8"/>
        <v/>
      </c>
    </row>
    <row r="28" spans="2:16" x14ac:dyDescent="0.2">
      <c r="B28" s="11"/>
      <c r="C28" s="12"/>
      <c r="D28" s="9"/>
      <c r="E28" s="11"/>
      <c r="F28" s="12"/>
      <c r="G28" s="9"/>
      <c r="H28" s="22" t="str">
        <f t="shared" si="0"/>
        <v/>
      </c>
      <c r="I28" s="23" t="str">
        <f t="shared" si="1"/>
        <v/>
      </c>
      <c r="J28" s="22" t="str">
        <f t="shared" si="2"/>
        <v/>
      </c>
      <c r="K28" s="23" t="str">
        <f t="shared" si="3"/>
        <v/>
      </c>
      <c r="L28" s="23" t="str">
        <f t="shared" si="4"/>
        <v/>
      </c>
      <c r="M28" s="13" t="str">
        <f t="shared" si="5"/>
        <v/>
      </c>
      <c r="N28" s="14" t="str">
        <f t="shared" si="6"/>
        <v/>
      </c>
      <c r="O28" s="14" t="str">
        <f t="shared" si="7"/>
        <v/>
      </c>
      <c r="P28" s="14" t="str">
        <f t="shared" si="8"/>
        <v/>
      </c>
    </row>
    <row r="29" spans="2:16" x14ac:dyDescent="0.2">
      <c r="B29" s="11"/>
      <c r="C29" s="12"/>
      <c r="D29" s="9"/>
      <c r="E29" s="11"/>
      <c r="F29" s="12"/>
      <c r="G29" s="9"/>
      <c r="H29" s="22" t="str">
        <f t="shared" si="0"/>
        <v/>
      </c>
      <c r="I29" s="23" t="str">
        <f t="shared" si="1"/>
        <v/>
      </c>
      <c r="J29" s="22" t="str">
        <f t="shared" si="2"/>
        <v/>
      </c>
      <c r="K29" s="23" t="str">
        <f t="shared" si="3"/>
        <v/>
      </c>
      <c r="L29" s="23" t="str">
        <f t="shared" si="4"/>
        <v/>
      </c>
      <c r="M29" s="13" t="str">
        <f t="shared" si="5"/>
        <v/>
      </c>
      <c r="N29" s="14" t="str">
        <f t="shared" si="6"/>
        <v/>
      </c>
      <c r="O29" s="14" t="str">
        <f t="shared" si="7"/>
        <v/>
      </c>
      <c r="P29" s="14" t="str">
        <f t="shared" si="8"/>
        <v/>
      </c>
    </row>
    <row r="30" spans="2:16" x14ac:dyDescent="0.2">
      <c r="B30" s="11"/>
      <c r="C30" s="12"/>
      <c r="D30" s="9"/>
      <c r="E30" s="11"/>
      <c r="F30" s="12"/>
      <c r="G30" s="9"/>
      <c r="H30" s="22" t="str">
        <f t="shared" si="0"/>
        <v/>
      </c>
      <c r="I30" s="23" t="str">
        <f t="shared" si="1"/>
        <v/>
      </c>
      <c r="J30" s="22" t="str">
        <f t="shared" si="2"/>
        <v/>
      </c>
      <c r="K30" s="23" t="str">
        <f t="shared" si="3"/>
        <v/>
      </c>
      <c r="L30" s="23" t="str">
        <f t="shared" si="4"/>
        <v/>
      </c>
      <c r="M30" s="13" t="str">
        <f t="shared" si="5"/>
        <v/>
      </c>
      <c r="N30" s="14" t="str">
        <f t="shared" si="6"/>
        <v/>
      </c>
      <c r="O30" s="14" t="str">
        <f t="shared" si="7"/>
        <v/>
      </c>
      <c r="P30" s="14" t="str">
        <f t="shared" si="8"/>
        <v/>
      </c>
    </row>
    <row r="31" spans="2:16" x14ac:dyDescent="0.2">
      <c r="B31" s="11"/>
      <c r="C31" s="12"/>
      <c r="D31" s="9"/>
      <c r="E31" s="11"/>
      <c r="F31" s="12"/>
      <c r="G31" s="9"/>
      <c r="H31" s="22" t="str">
        <f t="shared" si="0"/>
        <v/>
      </c>
      <c r="I31" s="23" t="str">
        <f t="shared" si="1"/>
        <v/>
      </c>
      <c r="J31" s="22" t="str">
        <f t="shared" si="2"/>
        <v/>
      </c>
      <c r="K31" s="23" t="str">
        <f t="shared" si="3"/>
        <v/>
      </c>
      <c r="L31" s="23" t="str">
        <f t="shared" si="4"/>
        <v/>
      </c>
      <c r="M31" s="13" t="str">
        <f t="shared" si="5"/>
        <v/>
      </c>
      <c r="N31" s="14" t="str">
        <f t="shared" si="6"/>
        <v/>
      </c>
      <c r="O31" s="14" t="str">
        <f t="shared" si="7"/>
        <v/>
      </c>
      <c r="P31" s="14" t="str">
        <f t="shared" si="8"/>
        <v/>
      </c>
    </row>
    <row r="32" spans="2:16" x14ac:dyDescent="0.2">
      <c r="B32" s="11"/>
      <c r="C32" s="12"/>
      <c r="D32" s="9"/>
      <c r="E32" s="11"/>
      <c r="F32" s="12"/>
      <c r="G32" s="9"/>
      <c r="H32" s="22" t="str">
        <f t="shared" si="0"/>
        <v/>
      </c>
      <c r="I32" s="23" t="str">
        <f t="shared" si="1"/>
        <v/>
      </c>
      <c r="J32" s="22" t="str">
        <f t="shared" si="2"/>
        <v/>
      </c>
      <c r="K32" s="23" t="str">
        <f t="shared" si="3"/>
        <v/>
      </c>
      <c r="L32" s="23" t="str">
        <f t="shared" si="4"/>
        <v/>
      </c>
      <c r="M32" s="13" t="str">
        <f t="shared" si="5"/>
        <v/>
      </c>
      <c r="N32" s="14" t="str">
        <f t="shared" si="6"/>
        <v/>
      </c>
      <c r="O32" s="14" t="str">
        <f t="shared" si="7"/>
        <v/>
      </c>
      <c r="P32" s="14" t="str">
        <f t="shared" si="8"/>
        <v/>
      </c>
    </row>
    <row r="33" spans="2:16" x14ac:dyDescent="0.2">
      <c r="B33" s="11"/>
      <c r="C33" s="12"/>
      <c r="D33" s="9"/>
      <c r="E33" s="11"/>
      <c r="F33" s="12"/>
      <c r="G33" s="9"/>
      <c r="H33" s="22" t="str">
        <f t="shared" si="0"/>
        <v/>
      </c>
      <c r="I33" s="23" t="str">
        <f t="shared" si="1"/>
        <v/>
      </c>
      <c r="J33" s="22" t="str">
        <f t="shared" si="2"/>
        <v/>
      </c>
      <c r="K33" s="23" t="str">
        <f t="shared" si="3"/>
        <v/>
      </c>
      <c r="L33" s="23" t="str">
        <f t="shared" si="4"/>
        <v/>
      </c>
      <c r="M33" s="13" t="str">
        <f t="shared" si="5"/>
        <v/>
      </c>
      <c r="N33" s="14" t="str">
        <f t="shared" si="6"/>
        <v/>
      </c>
      <c r="O33" s="14" t="str">
        <f t="shared" si="7"/>
        <v/>
      </c>
      <c r="P33" s="14" t="str">
        <f t="shared" si="8"/>
        <v/>
      </c>
    </row>
    <row r="34" spans="2:16" x14ac:dyDescent="0.2">
      <c r="B34" s="11"/>
      <c r="C34" s="12"/>
      <c r="D34" s="9"/>
      <c r="E34" s="11"/>
      <c r="F34" s="12"/>
      <c r="G34" s="9"/>
      <c r="H34" s="22" t="str">
        <f t="shared" si="0"/>
        <v/>
      </c>
      <c r="I34" s="23" t="str">
        <f t="shared" si="1"/>
        <v/>
      </c>
      <c r="J34" s="22" t="str">
        <f t="shared" si="2"/>
        <v/>
      </c>
      <c r="K34" s="23" t="str">
        <f t="shared" si="3"/>
        <v/>
      </c>
      <c r="L34" s="23" t="str">
        <f t="shared" si="4"/>
        <v/>
      </c>
      <c r="M34" s="13" t="str">
        <f t="shared" si="5"/>
        <v/>
      </c>
      <c r="N34" s="14" t="str">
        <f t="shared" si="6"/>
        <v/>
      </c>
      <c r="O34" s="14" t="str">
        <f t="shared" si="7"/>
        <v/>
      </c>
      <c r="P34" s="14" t="str">
        <f t="shared" si="8"/>
        <v/>
      </c>
    </row>
    <row r="35" spans="2:16" x14ac:dyDescent="0.2">
      <c r="B35" s="11"/>
      <c r="C35" s="12"/>
      <c r="D35" s="9"/>
      <c r="E35" s="11"/>
      <c r="F35" s="12"/>
      <c r="G35" s="9"/>
      <c r="H35" s="22" t="str">
        <f t="shared" si="0"/>
        <v/>
      </c>
      <c r="I35" s="23" t="str">
        <f t="shared" si="1"/>
        <v/>
      </c>
      <c r="J35" s="22" t="str">
        <f t="shared" si="2"/>
        <v/>
      </c>
      <c r="K35" s="23" t="str">
        <f t="shared" si="3"/>
        <v/>
      </c>
      <c r="L35" s="23" t="str">
        <f t="shared" si="4"/>
        <v/>
      </c>
      <c r="M35" s="13" t="str">
        <f t="shared" si="5"/>
        <v/>
      </c>
      <c r="N35" s="14" t="str">
        <f t="shared" si="6"/>
        <v/>
      </c>
      <c r="O35" s="14" t="str">
        <f t="shared" si="7"/>
        <v/>
      </c>
      <c r="P35" s="14" t="str">
        <f t="shared" si="8"/>
        <v/>
      </c>
    </row>
    <row r="37" spans="2:16" x14ac:dyDescent="0.2">
      <c r="J37" s="24"/>
    </row>
  </sheetData>
  <mergeCells count="6">
    <mergeCell ref="B21:C21"/>
    <mergeCell ref="E21:F21"/>
    <mergeCell ref="B23:C23"/>
    <mergeCell ref="E23:F23"/>
    <mergeCell ref="B22:C22"/>
    <mergeCell ref="E22:F22"/>
  </mergeCells>
  <pageMargins left="0.7" right="0.7" top="0.75" bottom="0.75" header="0.3" footer="0.3"/>
  <pageSetup paperSize="9" orientation="portrait" verticalDpi="597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Drop Down 1">
              <controlPr defaultSize="0" autoLine="0" autoPict="0">
                <anchor moveWithCells="1">
                  <from>
                    <xdr:col>3</xdr:col>
                    <xdr:colOff>9525</xdr:colOff>
                    <xdr:row>13</xdr:row>
                    <xdr:rowOff>9525</xdr:rowOff>
                  </from>
                  <to>
                    <xdr:col>4</xdr:col>
                    <xdr:colOff>466725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5" name="Drop Down 6">
              <controlPr defaultSize="0" autoLine="0" autoPict="0">
                <anchor moveWithCells="1">
                  <from>
                    <xdr:col>3</xdr:col>
                    <xdr:colOff>0</xdr:colOff>
                    <xdr:row>16</xdr:row>
                    <xdr:rowOff>171450</xdr:rowOff>
                  </from>
                  <to>
                    <xdr:col>4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6" name="Drop Down 7">
              <controlPr defaultSize="0" autoLine="0" autoPict="0">
                <anchor moveWithCells="1">
                  <from>
                    <xdr:col>3</xdr:col>
                    <xdr:colOff>9525</xdr:colOff>
                    <xdr:row>15</xdr:row>
                    <xdr:rowOff>0</xdr:rowOff>
                  </from>
                  <to>
                    <xdr:col>4</xdr:col>
                    <xdr:colOff>476250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I39"/>
  <sheetViews>
    <sheetView zoomScaleNormal="100" workbookViewId="0">
      <selection activeCell="E27" sqref="E27"/>
    </sheetView>
  </sheetViews>
  <sheetFormatPr defaultRowHeight="12.75" x14ac:dyDescent="0.2"/>
  <cols>
    <col min="1" max="1" width="5.28515625" customWidth="1"/>
    <col min="2" max="2" width="16.140625" customWidth="1"/>
    <col min="3" max="3" width="13.7109375" customWidth="1"/>
    <col min="4" max="4" width="13.140625" customWidth="1"/>
    <col min="5" max="8" width="12.28515625" customWidth="1"/>
    <col min="9" max="9" width="18" customWidth="1"/>
    <col min="10" max="12" width="18" hidden="1" customWidth="1"/>
    <col min="13" max="13" width="9.85546875" customWidth="1"/>
    <col min="14" max="14" width="9.140625" customWidth="1"/>
    <col min="15" max="15" width="59.28515625" customWidth="1"/>
    <col min="20" max="20" width="8.85546875" style="3"/>
    <col min="21" max="21" width="17.28515625" style="3" customWidth="1"/>
    <col min="22" max="26" width="8.85546875" style="3"/>
    <col min="27" max="27" width="13.85546875" style="3" customWidth="1"/>
    <col min="28" max="32" width="8.85546875" style="3"/>
  </cols>
  <sheetData>
    <row r="1" spans="2:3" x14ac:dyDescent="0.2">
      <c r="B1" s="7"/>
    </row>
    <row r="2" spans="2:3" x14ac:dyDescent="0.2">
      <c r="B2" s="7"/>
    </row>
    <row r="3" spans="2:3" ht="15" x14ac:dyDescent="0.2">
      <c r="B3" s="8"/>
      <c r="C3" s="8"/>
    </row>
    <row r="4" spans="2:3" ht="15" x14ac:dyDescent="0.2">
      <c r="B4" s="8"/>
      <c r="C4" s="8"/>
    </row>
    <row r="22" spans="2:35" x14ac:dyDescent="0.2">
      <c r="T22"/>
      <c r="AG22" s="3"/>
    </row>
    <row r="23" spans="2:35" x14ac:dyDescent="0.2">
      <c r="B23" s="126" t="str">
        <f>'Options &amp; WEFF Max, Min'!$F$15</f>
        <v>Calendar year 2016</v>
      </c>
      <c r="C23" s="127"/>
      <c r="T23"/>
      <c r="AG23" s="3"/>
    </row>
    <row r="24" spans="2:35" x14ac:dyDescent="0.2">
      <c r="B24" s="128" t="str">
        <f>'Options &amp; WEFF Max, Min'!B15</f>
        <v>SA</v>
      </c>
      <c r="C24" s="129"/>
      <c r="G24" s="9"/>
      <c r="T24"/>
      <c r="AG24" s="3"/>
    </row>
    <row r="25" spans="2:35" x14ac:dyDescent="0.2">
      <c r="B25" s="91" t="str">
        <f>'Options &amp; WEFF across juris'!$I$16</f>
        <v>Adult</v>
      </c>
      <c r="C25" s="91" t="s">
        <v>11</v>
      </c>
      <c r="E25" s="130" t="s">
        <v>80</v>
      </c>
      <c r="F25" s="131"/>
      <c r="G25" s="131"/>
      <c r="H25" s="131"/>
      <c r="I25" s="9"/>
      <c r="M25" s="3"/>
      <c r="N25" s="3"/>
      <c r="O25" s="3"/>
      <c r="P25" s="3"/>
      <c r="Q25" s="3"/>
      <c r="R25" s="3"/>
      <c r="T25"/>
      <c r="U25"/>
      <c r="V25"/>
      <c r="AG25" s="3"/>
      <c r="AH25" s="3"/>
      <c r="AI25" s="3"/>
    </row>
    <row r="26" spans="2:35" ht="24" customHeight="1" x14ac:dyDescent="0.2">
      <c r="B26" s="21" t="s">
        <v>72</v>
      </c>
      <c r="C26" s="21" t="s">
        <v>72</v>
      </c>
      <c r="E26" s="18" t="s">
        <v>72</v>
      </c>
      <c r="F26" s="18" t="s">
        <v>81</v>
      </c>
      <c r="G26" s="18" t="s">
        <v>82</v>
      </c>
      <c r="H26" s="18" t="s">
        <v>83</v>
      </c>
      <c r="I26" s="9"/>
      <c r="J26" s="18" t="s">
        <v>77</v>
      </c>
      <c r="K26" s="18" t="s">
        <v>79</v>
      </c>
      <c r="L26" s="18" t="s">
        <v>78</v>
      </c>
      <c r="M26" s="3"/>
      <c r="N26" s="3"/>
      <c r="O26" s="3"/>
      <c r="P26" s="3"/>
      <c r="Q26" s="3"/>
      <c r="R26" s="3"/>
      <c r="T26"/>
      <c r="U26"/>
      <c r="V26"/>
      <c r="AG26" s="3"/>
      <c r="AH26" s="3"/>
      <c r="AI26" s="3"/>
    </row>
    <row r="27" spans="2:35" x14ac:dyDescent="0.2">
      <c r="B27" s="89">
        <v>200000</v>
      </c>
      <c r="C27" s="89">
        <v>100000</v>
      </c>
      <c r="E27" s="90">
        <f>IF(OR(B27&lt;&gt;"",C27&lt;&gt;""),B27+C27,"")</f>
        <v>300000</v>
      </c>
      <c r="F27" s="90">
        <f>IF(OR(B27&lt;&gt;"",C27&lt;&gt;""),L27,"")</f>
        <v>43000</v>
      </c>
      <c r="G27" s="90">
        <f>IF(OR(B27&lt;&gt;"",C27&lt;&gt;""),MAX(0,E27-F27),"")</f>
        <v>257000</v>
      </c>
      <c r="H27" s="90">
        <f>IF(OR(B27&lt;&gt;"",C27&lt;&gt;""),E27+F27,"")</f>
        <v>343000</v>
      </c>
      <c r="I27" s="9"/>
      <c r="J27" s="22">
        <f t="shared" ref="J27:J37" si="0">IF(B27&lt;&gt;"",1.96*(EXP(0.5*LN(WEFF_5)-0.5*LN(frac_5)-0.5*LN(B27))*B27),0)</f>
        <v>32023.975491727688</v>
      </c>
      <c r="K27" s="22">
        <f t="shared" ref="K27:K37" si="1">IF(C27&lt;&gt;"",1.96*(EXP(0.5*LN(WEFF_6)-0.5*LN(frac_6)-0.5*LN(C27))*C27),0)</f>
        <v>28751.924676436214</v>
      </c>
      <c r="L27" s="22">
        <f>ROUND(SQRT(J27^2+K27^2),-2)</f>
        <v>43000</v>
      </c>
      <c r="M27" s="3"/>
      <c r="N27" s="3"/>
      <c r="O27" s="3"/>
      <c r="P27" s="3"/>
      <c r="Q27" s="3"/>
      <c r="R27" s="3"/>
      <c r="T27"/>
      <c r="U27"/>
      <c r="V27"/>
      <c r="AG27" s="3"/>
      <c r="AH27" s="3"/>
      <c r="AI27" s="3"/>
    </row>
    <row r="28" spans="2:35" x14ac:dyDescent="0.2">
      <c r="B28" s="89"/>
      <c r="C28" s="89"/>
      <c r="E28" s="90" t="str">
        <f t="shared" ref="E28:E37" si="2">IF(OR(B28&lt;&gt;"",C28&lt;&gt;""),B28+C28,"")</f>
        <v/>
      </c>
      <c r="F28" s="90" t="str">
        <f t="shared" ref="F28:F37" si="3">IF(OR(B28&lt;&gt;"",C28&lt;&gt;""),L28,"")</f>
        <v/>
      </c>
      <c r="G28" s="90" t="str">
        <f t="shared" ref="G28:G37" si="4">IF(OR(B28&lt;&gt;"",C28&lt;&gt;""),MAX(0,E28-F28),"")</f>
        <v/>
      </c>
      <c r="H28" s="90" t="str">
        <f t="shared" ref="H28:H37" si="5">IF(OR(B28&lt;&gt;"",C28&lt;&gt;""),E28+F28,"")</f>
        <v/>
      </c>
      <c r="I28" s="9"/>
      <c r="J28" s="22">
        <f t="shared" si="0"/>
        <v>0</v>
      </c>
      <c r="K28" s="22">
        <f t="shared" si="1"/>
        <v>0</v>
      </c>
      <c r="L28" s="22">
        <f t="shared" ref="L28:L37" si="6">ROUND(SQRT(J28^2+K28^2),-2)</f>
        <v>0</v>
      </c>
      <c r="M28" s="3"/>
      <c r="N28" s="3"/>
      <c r="O28" s="3"/>
      <c r="P28" s="3"/>
      <c r="Q28" s="3"/>
      <c r="R28" s="3"/>
      <c r="T28"/>
      <c r="U28"/>
      <c r="V28"/>
      <c r="AG28" s="3"/>
      <c r="AH28" s="3"/>
      <c r="AI28" s="3"/>
    </row>
    <row r="29" spans="2:35" x14ac:dyDescent="0.2">
      <c r="B29" s="89"/>
      <c r="C29" s="89"/>
      <c r="E29" s="90" t="str">
        <f t="shared" si="2"/>
        <v/>
      </c>
      <c r="F29" s="90" t="str">
        <f t="shared" si="3"/>
        <v/>
      </c>
      <c r="G29" s="90" t="str">
        <f t="shared" si="4"/>
        <v/>
      </c>
      <c r="H29" s="90" t="str">
        <f t="shared" si="5"/>
        <v/>
      </c>
      <c r="I29" s="9"/>
      <c r="J29" s="22">
        <f t="shared" si="0"/>
        <v>0</v>
      </c>
      <c r="K29" s="22">
        <f t="shared" si="1"/>
        <v>0</v>
      </c>
      <c r="L29" s="22">
        <f t="shared" si="6"/>
        <v>0</v>
      </c>
      <c r="M29" s="3"/>
      <c r="N29" s="3"/>
      <c r="O29" s="3"/>
      <c r="P29" s="3"/>
      <c r="Q29" s="3"/>
      <c r="R29" s="3"/>
      <c r="T29"/>
      <c r="U29"/>
      <c r="V29"/>
      <c r="AG29" s="3"/>
      <c r="AH29" s="3"/>
      <c r="AI29" s="3"/>
    </row>
    <row r="30" spans="2:35" x14ac:dyDescent="0.2">
      <c r="B30" s="89"/>
      <c r="C30" s="89"/>
      <c r="E30" s="90" t="str">
        <f t="shared" si="2"/>
        <v/>
      </c>
      <c r="F30" s="90" t="str">
        <f t="shared" si="3"/>
        <v/>
      </c>
      <c r="G30" s="90" t="str">
        <f t="shared" si="4"/>
        <v/>
      </c>
      <c r="H30" s="90" t="str">
        <f t="shared" si="5"/>
        <v/>
      </c>
      <c r="I30" s="9"/>
      <c r="J30" s="22">
        <f t="shared" si="0"/>
        <v>0</v>
      </c>
      <c r="K30" s="22">
        <f t="shared" si="1"/>
        <v>0</v>
      </c>
      <c r="L30" s="22">
        <f t="shared" si="6"/>
        <v>0</v>
      </c>
      <c r="M30" s="3"/>
      <c r="N30" s="3"/>
      <c r="O30" s="3"/>
      <c r="P30" s="3"/>
      <c r="Q30" s="3"/>
      <c r="R30" s="3"/>
      <c r="T30"/>
      <c r="U30"/>
      <c r="V30"/>
      <c r="AG30" s="3"/>
      <c r="AH30" s="3"/>
      <c r="AI30" s="3"/>
    </row>
    <row r="31" spans="2:35" x14ac:dyDescent="0.2">
      <c r="B31" s="89"/>
      <c r="C31" s="89"/>
      <c r="E31" s="90" t="str">
        <f t="shared" si="2"/>
        <v/>
      </c>
      <c r="F31" s="90" t="str">
        <f t="shared" si="3"/>
        <v/>
      </c>
      <c r="G31" s="90" t="str">
        <f t="shared" si="4"/>
        <v/>
      </c>
      <c r="H31" s="90" t="str">
        <f t="shared" si="5"/>
        <v/>
      </c>
      <c r="I31" s="9"/>
      <c r="J31" s="22">
        <f t="shared" si="0"/>
        <v>0</v>
      </c>
      <c r="K31" s="22">
        <f t="shared" si="1"/>
        <v>0</v>
      </c>
      <c r="L31" s="22">
        <f t="shared" si="6"/>
        <v>0</v>
      </c>
      <c r="M31" s="3"/>
      <c r="N31" s="3"/>
      <c r="O31" s="3"/>
      <c r="P31" s="3"/>
      <c r="Q31" s="3"/>
      <c r="R31" s="3"/>
      <c r="T31"/>
      <c r="U31"/>
      <c r="V31"/>
      <c r="AG31" s="3"/>
      <c r="AH31" s="3"/>
      <c r="AI31" s="3"/>
    </row>
    <row r="32" spans="2:35" x14ac:dyDescent="0.2">
      <c r="B32" s="89"/>
      <c r="C32" s="89"/>
      <c r="E32" s="90" t="str">
        <f t="shared" si="2"/>
        <v/>
      </c>
      <c r="F32" s="90" t="str">
        <f t="shared" si="3"/>
        <v/>
      </c>
      <c r="G32" s="90" t="str">
        <f t="shared" si="4"/>
        <v/>
      </c>
      <c r="H32" s="90" t="str">
        <f t="shared" si="5"/>
        <v/>
      </c>
      <c r="I32" s="9"/>
      <c r="J32" s="22">
        <f t="shared" si="0"/>
        <v>0</v>
      </c>
      <c r="K32" s="22">
        <f t="shared" si="1"/>
        <v>0</v>
      </c>
      <c r="L32" s="22">
        <f t="shared" si="6"/>
        <v>0</v>
      </c>
      <c r="M32" s="3"/>
      <c r="N32" s="3"/>
      <c r="O32" s="3"/>
      <c r="P32" s="3"/>
      <c r="Q32" s="3"/>
      <c r="R32" s="3"/>
      <c r="T32"/>
      <c r="U32"/>
      <c r="V32"/>
      <c r="AG32" s="3"/>
      <c r="AH32" s="3"/>
      <c r="AI32" s="3"/>
    </row>
    <row r="33" spans="2:35" x14ac:dyDescent="0.2">
      <c r="B33" s="89"/>
      <c r="C33" s="89"/>
      <c r="E33" s="90" t="str">
        <f t="shared" si="2"/>
        <v/>
      </c>
      <c r="F33" s="90" t="str">
        <f t="shared" si="3"/>
        <v/>
      </c>
      <c r="G33" s="90" t="str">
        <f t="shared" si="4"/>
        <v/>
      </c>
      <c r="H33" s="90" t="str">
        <f t="shared" si="5"/>
        <v/>
      </c>
      <c r="I33" s="9"/>
      <c r="J33" s="22">
        <f t="shared" si="0"/>
        <v>0</v>
      </c>
      <c r="K33" s="22">
        <f t="shared" si="1"/>
        <v>0</v>
      </c>
      <c r="L33" s="22">
        <f t="shared" si="6"/>
        <v>0</v>
      </c>
      <c r="M33" s="3"/>
      <c r="N33" s="3"/>
      <c r="O33" s="3"/>
      <c r="P33" s="3"/>
      <c r="Q33" s="3"/>
      <c r="R33" s="3"/>
      <c r="T33"/>
      <c r="U33"/>
      <c r="V33"/>
      <c r="AG33" s="3"/>
      <c r="AH33" s="3"/>
      <c r="AI33" s="3"/>
    </row>
    <row r="34" spans="2:35" x14ac:dyDescent="0.2">
      <c r="B34" s="89"/>
      <c r="C34" s="89"/>
      <c r="E34" s="90" t="str">
        <f t="shared" si="2"/>
        <v/>
      </c>
      <c r="F34" s="90" t="str">
        <f t="shared" si="3"/>
        <v/>
      </c>
      <c r="G34" s="90" t="str">
        <f t="shared" si="4"/>
        <v/>
      </c>
      <c r="H34" s="90" t="str">
        <f t="shared" si="5"/>
        <v/>
      </c>
      <c r="I34" s="9"/>
      <c r="J34" s="22">
        <f t="shared" si="0"/>
        <v>0</v>
      </c>
      <c r="K34" s="22">
        <f t="shared" si="1"/>
        <v>0</v>
      </c>
      <c r="L34" s="22">
        <f t="shared" si="6"/>
        <v>0</v>
      </c>
      <c r="M34" s="3"/>
      <c r="N34" s="3"/>
      <c r="O34" s="3"/>
      <c r="P34" s="3"/>
      <c r="Q34" s="3"/>
      <c r="R34" s="3"/>
      <c r="T34"/>
      <c r="U34"/>
      <c r="V34"/>
      <c r="AG34" s="3"/>
      <c r="AH34" s="3"/>
      <c r="AI34" s="3"/>
    </row>
    <row r="35" spans="2:35" x14ac:dyDescent="0.2">
      <c r="B35" s="89"/>
      <c r="C35" s="89"/>
      <c r="E35" s="90" t="str">
        <f t="shared" si="2"/>
        <v/>
      </c>
      <c r="F35" s="90" t="str">
        <f t="shared" si="3"/>
        <v/>
      </c>
      <c r="G35" s="90" t="str">
        <f t="shared" si="4"/>
        <v/>
      </c>
      <c r="H35" s="90" t="str">
        <f t="shared" si="5"/>
        <v/>
      </c>
      <c r="I35" s="9"/>
      <c r="J35" s="22">
        <f t="shared" si="0"/>
        <v>0</v>
      </c>
      <c r="K35" s="22">
        <f t="shared" si="1"/>
        <v>0</v>
      </c>
      <c r="L35" s="22">
        <f t="shared" si="6"/>
        <v>0</v>
      </c>
      <c r="M35" s="3"/>
      <c r="N35" s="3"/>
      <c r="O35" s="3"/>
      <c r="P35" s="3"/>
      <c r="Q35" s="3"/>
      <c r="R35" s="3"/>
      <c r="T35"/>
      <c r="U35"/>
      <c r="V35"/>
      <c r="AG35" s="3"/>
      <c r="AH35" s="3"/>
      <c r="AI35" s="3"/>
    </row>
    <row r="36" spans="2:35" x14ac:dyDescent="0.2">
      <c r="B36" s="89"/>
      <c r="C36" s="89"/>
      <c r="E36" s="90" t="str">
        <f t="shared" si="2"/>
        <v/>
      </c>
      <c r="F36" s="90" t="str">
        <f t="shared" si="3"/>
        <v/>
      </c>
      <c r="G36" s="90" t="str">
        <f t="shared" si="4"/>
        <v/>
      </c>
      <c r="H36" s="90" t="str">
        <f t="shared" si="5"/>
        <v/>
      </c>
      <c r="I36" s="9"/>
      <c r="J36" s="22">
        <f t="shared" si="0"/>
        <v>0</v>
      </c>
      <c r="K36" s="22">
        <f t="shared" si="1"/>
        <v>0</v>
      </c>
      <c r="L36" s="22">
        <f t="shared" si="6"/>
        <v>0</v>
      </c>
      <c r="M36" s="3"/>
      <c r="N36" s="3"/>
      <c r="O36" s="3"/>
      <c r="P36" s="3"/>
      <c r="Q36" s="3"/>
      <c r="R36" s="3"/>
      <c r="T36"/>
      <c r="U36"/>
      <c r="V36"/>
      <c r="AG36" s="3"/>
      <c r="AH36" s="3"/>
      <c r="AI36" s="3"/>
    </row>
    <row r="37" spans="2:35" x14ac:dyDescent="0.2">
      <c r="B37" s="89"/>
      <c r="C37" s="89"/>
      <c r="E37" s="90" t="str">
        <f t="shared" si="2"/>
        <v/>
      </c>
      <c r="F37" s="90" t="str">
        <f t="shared" si="3"/>
        <v/>
      </c>
      <c r="G37" s="90" t="str">
        <f t="shared" si="4"/>
        <v/>
      </c>
      <c r="H37" s="90" t="str">
        <f t="shared" si="5"/>
        <v/>
      </c>
      <c r="I37" s="9"/>
      <c r="J37" s="22">
        <f t="shared" si="0"/>
        <v>0</v>
      </c>
      <c r="K37" s="22">
        <f t="shared" si="1"/>
        <v>0</v>
      </c>
      <c r="L37" s="22">
        <f t="shared" si="6"/>
        <v>0</v>
      </c>
      <c r="M37" s="3"/>
      <c r="N37" s="3"/>
      <c r="O37" s="3"/>
      <c r="P37" s="3"/>
      <c r="Q37" s="3"/>
      <c r="R37" s="3"/>
      <c r="T37"/>
      <c r="U37"/>
      <c r="V37"/>
      <c r="AG37" s="3"/>
      <c r="AH37" s="3"/>
      <c r="AI37" s="3"/>
    </row>
    <row r="38" spans="2:35" x14ac:dyDescent="0.2">
      <c r="M38" s="3"/>
      <c r="N38" s="3"/>
      <c r="O38" s="3"/>
      <c r="P38" s="3"/>
      <c r="Q38" s="3"/>
      <c r="R38" s="3"/>
      <c r="T38"/>
      <c r="U38"/>
      <c r="V38"/>
      <c r="AG38" s="3"/>
      <c r="AH38" s="3"/>
      <c r="AI38" s="3"/>
    </row>
    <row r="39" spans="2:35" x14ac:dyDescent="0.2">
      <c r="L39" s="24"/>
      <c r="M39" s="3"/>
      <c r="N39" s="3"/>
      <c r="O39" s="3"/>
      <c r="P39" s="3"/>
      <c r="Q39" s="3"/>
      <c r="R39" s="3"/>
      <c r="T39"/>
      <c r="U39"/>
      <c r="V39"/>
      <c r="AG39" s="3"/>
      <c r="AH39" s="3"/>
      <c r="AI39" s="3"/>
    </row>
  </sheetData>
  <mergeCells count="3">
    <mergeCell ref="B23:C23"/>
    <mergeCell ref="B24:C24"/>
    <mergeCell ref="E25:H25"/>
  </mergeCells>
  <pageMargins left="0.7" right="0.7" top="0.75" bottom="0.75" header="0.3" footer="0.3"/>
  <pageSetup paperSize="9" orientation="portrait" verticalDpi="597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8" r:id="rId4" name="Drop Down 2">
              <controlPr defaultSize="0" autoLine="0" autoPict="0">
                <anchor moveWithCells="1">
                  <from>
                    <xdr:col>2</xdr:col>
                    <xdr:colOff>9525</xdr:colOff>
                    <xdr:row>17</xdr:row>
                    <xdr:rowOff>0</xdr:rowOff>
                  </from>
                  <to>
                    <xdr:col>3</xdr:col>
                    <xdr:colOff>381000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5" name="Drop Down 3">
              <controlPr defaultSize="0" autoLine="0" autoPict="0">
                <anchor moveWithCells="1">
                  <from>
                    <xdr:col>2</xdr:col>
                    <xdr:colOff>9525</xdr:colOff>
                    <xdr:row>19</xdr:row>
                    <xdr:rowOff>161925</xdr:rowOff>
                  </from>
                  <to>
                    <xdr:col>3</xdr:col>
                    <xdr:colOff>400050</xdr:colOff>
                    <xdr:row>21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7"/>
  <sheetViews>
    <sheetView topLeftCell="H1" workbookViewId="0">
      <selection activeCell="T15" sqref="T15"/>
    </sheetView>
  </sheetViews>
  <sheetFormatPr defaultRowHeight="12.75" x14ac:dyDescent="0.2"/>
  <cols>
    <col min="2" max="2" width="13.28515625" customWidth="1"/>
    <col min="7" max="7" width="13.28515625" customWidth="1"/>
    <col min="8" max="8" width="11.28515625" customWidth="1"/>
    <col min="12" max="12" width="20.7109375" customWidth="1"/>
    <col min="13" max="13" width="7.7109375" customWidth="1"/>
    <col min="14" max="14" width="9.42578125" customWidth="1"/>
    <col min="15" max="15" width="18.7109375" customWidth="1"/>
    <col min="16" max="16" width="13" customWidth="1"/>
    <col min="17" max="17" width="20.28515625" customWidth="1"/>
    <col min="18" max="18" width="17.28515625" customWidth="1"/>
    <col min="19" max="19" width="26.28515625" customWidth="1"/>
    <col min="20" max="20" width="21.28515625" customWidth="1"/>
    <col min="21" max="21" width="20.5703125" customWidth="1"/>
    <col min="22" max="22" width="20.7109375" customWidth="1"/>
    <col min="23" max="23" width="26.28515625" customWidth="1"/>
    <col min="24" max="24" width="14" customWidth="1"/>
    <col min="25" max="25" width="14.5703125" customWidth="1"/>
    <col min="29" max="29" width="38.28515625" bestFit="1" customWidth="1"/>
    <col min="32" max="32" width="20.85546875" customWidth="1"/>
    <col min="33" max="33" width="19.7109375" customWidth="1"/>
    <col min="34" max="34" width="41.5703125" customWidth="1"/>
    <col min="35" max="35" width="20.140625" customWidth="1"/>
  </cols>
  <sheetData>
    <row r="2" spans="1:35" x14ac:dyDescent="0.2">
      <c r="S2" s="4"/>
      <c r="T2" s="4"/>
      <c r="U2" s="4"/>
      <c r="V2" s="4"/>
      <c r="W2" s="4"/>
    </row>
    <row r="3" spans="1:35" x14ac:dyDescent="0.2">
      <c r="A3">
        <v>1</v>
      </c>
      <c r="B3" t="s">
        <v>3</v>
      </c>
      <c r="D3">
        <v>1</v>
      </c>
      <c r="E3" t="str">
        <f>VLOOKUP(D3,$C$31:$K$37,$B$15+1,FALSE)</f>
        <v>Vic</v>
      </c>
      <c r="H3">
        <v>1</v>
      </c>
      <c r="I3" t="s">
        <v>12</v>
      </c>
      <c r="K3">
        <v>1</v>
      </c>
      <c r="L3" t="s">
        <v>17</v>
      </c>
      <c r="O3" s="26"/>
      <c r="S3" s="4"/>
      <c r="T3" s="4"/>
      <c r="U3" s="4"/>
      <c r="V3" s="4"/>
      <c r="W3" s="4"/>
    </row>
    <row r="4" spans="1:35" x14ac:dyDescent="0.2">
      <c r="A4">
        <v>2</v>
      </c>
      <c r="B4" t="s">
        <v>4</v>
      </c>
      <c r="D4">
        <v>2</v>
      </c>
      <c r="E4" t="str">
        <f t="shared" ref="E4:E9" si="0">VLOOKUP(D4,$C$31:$K$37,$B$15+1,FALSE)</f>
        <v>Qld</v>
      </c>
      <c r="H4">
        <v>2</v>
      </c>
      <c r="I4" t="s">
        <v>11</v>
      </c>
      <c r="K4">
        <v>2</v>
      </c>
      <c r="L4" t="s">
        <v>14</v>
      </c>
      <c r="M4" s="27"/>
      <c r="N4" s="27"/>
      <c r="O4" s="26"/>
      <c r="S4" s="4"/>
      <c r="T4" s="4"/>
      <c r="U4" s="4"/>
      <c r="V4" s="4"/>
      <c r="W4" s="4"/>
      <c r="AI4" s="5"/>
    </row>
    <row r="5" spans="1:35" x14ac:dyDescent="0.2">
      <c r="A5">
        <v>3</v>
      </c>
      <c r="B5" t="s">
        <v>5</v>
      </c>
      <c r="D5">
        <v>3</v>
      </c>
      <c r="E5" t="str">
        <f t="shared" si="0"/>
        <v>SA</v>
      </c>
      <c r="K5">
        <v>3</v>
      </c>
      <c r="L5" t="s">
        <v>15</v>
      </c>
      <c r="S5" s="4"/>
      <c r="T5" s="4"/>
      <c r="U5" s="4"/>
      <c r="V5" s="4"/>
      <c r="W5" s="4"/>
      <c r="AI5" s="5"/>
    </row>
    <row r="6" spans="1:35" x14ac:dyDescent="0.2">
      <c r="A6">
        <v>4</v>
      </c>
      <c r="B6" t="s">
        <v>6</v>
      </c>
      <c r="D6">
        <v>4</v>
      </c>
      <c r="E6" t="str">
        <f t="shared" si="0"/>
        <v>WA</v>
      </c>
      <c r="K6">
        <v>4</v>
      </c>
      <c r="L6" t="s">
        <v>20</v>
      </c>
      <c r="S6" s="4"/>
      <c r="T6" s="4"/>
      <c r="U6" s="4"/>
      <c r="V6" s="4"/>
      <c r="W6" s="4"/>
      <c r="AI6" s="5"/>
    </row>
    <row r="7" spans="1:35" x14ac:dyDescent="0.2">
      <c r="A7">
        <v>5</v>
      </c>
      <c r="B7" t="s">
        <v>7</v>
      </c>
      <c r="D7">
        <v>5</v>
      </c>
      <c r="E7" t="str">
        <f t="shared" si="0"/>
        <v>Tas</v>
      </c>
      <c r="K7">
        <v>5</v>
      </c>
      <c r="L7" t="s">
        <v>19</v>
      </c>
      <c r="AI7" s="5"/>
    </row>
    <row r="8" spans="1:35" x14ac:dyDescent="0.2">
      <c r="A8">
        <v>6</v>
      </c>
      <c r="B8" t="s">
        <v>8</v>
      </c>
      <c r="D8">
        <v>6</v>
      </c>
      <c r="E8" t="str">
        <f t="shared" si="0"/>
        <v>NT</v>
      </c>
      <c r="K8">
        <v>6</v>
      </c>
      <c r="L8" t="s">
        <v>64</v>
      </c>
      <c r="AI8" s="5"/>
    </row>
    <row r="9" spans="1:35" x14ac:dyDescent="0.2">
      <c r="A9">
        <v>7</v>
      </c>
      <c r="B9" t="s">
        <v>9</v>
      </c>
      <c r="D9">
        <v>7</v>
      </c>
      <c r="E9" t="str">
        <f t="shared" si="0"/>
        <v>ACT</v>
      </c>
      <c r="K9">
        <v>7</v>
      </c>
      <c r="L9" t="s">
        <v>68</v>
      </c>
      <c r="AI9" s="5"/>
    </row>
    <row r="10" spans="1:35" x14ac:dyDescent="0.2">
      <c r="A10">
        <v>8</v>
      </c>
      <c r="B10" t="s">
        <v>10</v>
      </c>
      <c r="K10">
        <v>8</v>
      </c>
      <c r="L10" t="s">
        <v>84</v>
      </c>
      <c r="AI10" s="5"/>
    </row>
    <row r="11" spans="1:35" x14ac:dyDescent="0.2">
      <c r="AI11" s="5"/>
    </row>
    <row r="13" spans="1:35" x14ac:dyDescent="0.2">
      <c r="A13" s="132" t="s">
        <v>52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S13" s="132" t="s">
        <v>52</v>
      </c>
      <c r="T13" s="132"/>
      <c r="U13" s="132"/>
      <c r="V13" s="132"/>
      <c r="W13" s="132"/>
      <c r="X13" s="132"/>
      <c r="Y13" s="132"/>
    </row>
    <row r="14" spans="1:35" ht="26.45" customHeight="1" x14ac:dyDescent="0.2">
      <c r="A14" s="133" t="s">
        <v>48</v>
      </c>
      <c r="B14" s="133"/>
      <c r="D14" s="133" t="s">
        <v>49</v>
      </c>
      <c r="E14" s="133"/>
      <c r="H14" s="133" t="s">
        <v>18</v>
      </c>
      <c r="I14" s="133"/>
      <c r="K14" s="133" t="s">
        <v>47</v>
      </c>
      <c r="L14" s="133"/>
      <c r="S14" s="2" t="s">
        <v>43</v>
      </c>
      <c r="T14" s="1" t="s">
        <v>32</v>
      </c>
      <c r="U14" s="1" t="s">
        <v>33</v>
      </c>
      <c r="W14" s="2" t="s">
        <v>44</v>
      </c>
      <c r="X14" s="1" t="s">
        <v>34</v>
      </c>
      <c r="Y14" s="1" t="s">
        <v>35</v>
      </c>
    </row>
    <row r="15" spans="1:35" x14ac:dyDescent="0.2">
      <c r="A15" s="2"/>
      <c r="B15" s="1">
        <v>1</v>
      </c>
      <c r="C15" s="3"/>
      <c r="D15" s="2"/>
      <c r="E15" s="1">
        <v>1</v>
      </c>
      <c r="F15" s="3"/>
      <c r="G15" s="3"/>
      <c r="H15" s="2"/>
      <c r="I15" s="1">
        <v>1</v>
      </c>
      <c r="L15" s="2">
        <v>8</v>
      </c>
      <c r="S15" s="2" t="str">
        <f>B16&amp;I16&amp;L16</f>
        <v>NSWAdultCalendar year 2019</v>
      </c>
      <c r="T15" s="1">
        <f>VLOOKUP($S15,'WEFF values'!$E$7:$G$150,2,FALSE)</f>
        <v>1.2489273879622322</v>
      </c>
      <c r="U15" s="17">
        <f>VLOOKUP($S15,'WEFF values'!$E$7:$G$141,3,FALSE)</f>
        <v>9.2332172904471073E-4</v>
      </c>
      <c r="W15" s="2" t="str">
        <f>E16&amp;I16&amp;L16</f>
        <v>VicAdultCalendar year 2019</v>
      </c>
      <c r="X15" s="1">
        <f>VLOOKUP($W15,'WEFF values'!$E$7:$G$141,2,FALSE)</f>
        <v>1.2392240136514037</v>
      </c>
      <c r="Y15" s="17">
        <f>VLOOKUP($W15,'WEFF values'!$E$7:$G$141,3,FALSE)</f>
        <v>8.5511377087817792E-4</v>
      </c>
    </row>
    <row r="16" spans="1:35" x14ac:dyDescent="0.2">
      <c r="A16" s="2"/>
      <c r="B16" s="1" t="str">
        <f>VLOOKUP(B15,$A$3:$B$10,2,FALSE)</f>
        <v>NSW</v>
      </c>
      <c r="C16" s="3"/>
      <c r="D16" s="2"/>
      <c r="E16" s="1" t="str">
        <f>VLOOKUP(E15,$D$3:$E$9,2,FALSE)</f>
        <v>Vic</v>
      </c>
      <c r="F16" s="3"/>
      <c r="G16" s="3"/>
      <c r="H16" s="2"/>
      <c r="I16" s="1" t="str">
        <f>VLOOKUP(I15,$H$3:$I$4,2,FALSE)</f>
        <v>Adult</v>
      </c>
      <c r="L16" s="2" t="str">
        <f>VLOOKUP(L15,$K$3:$L$10,2,FALSE)</f>
        <v>Calendar year 2019</v>
      </c>
    </row>
    <row r="17" spans="3:35" x14ac:dyDescent="0.2">
      <c r="AI17" s="5"/>
    </row>
    <row r="18" spans="3:35" x14ac:dyDescent="0.2">
      <c r="AI18" s="5"/>
    </row>
    <row r="19" spans="3:35" x14ac:dyDescent="0.2">
      <c r="AI19" s="5"/>
    </row>
    <row r="20" spans="3:35" x14ac:dyDescent="0.2">
      <c r="AI20" s="5"/>
    </row>
    <row r="21" spans="3:35" x14ac:dyDescent="0.2">
      <c r="AI21" s="5"/>
    </row>
    <row r="22" spans="3:35" x14ac:dyDescent="0.2">
      <c r="AI22" s="5"/>
    </row>
    <row r="23" spans="3:35" x14ac:dyDescent="0.2">
      <c r="AI23" s="5"/>
    </row>
    <row r="24" spans="3:35" x14ac:dyDescent="0.2">
      <c r="AI24" s="5"/>
    </row>
    <row r="25" spans="3:35" x14ac:dyDescent="0.2">
      <c r="AI25" s="5"/>
    </row>
    <row r="26" spans="3:35" x14ac:dyDescent="0.2">
      <c r="AI26" s="5"/>
    </row>
    <row r="27" spans="3:35" x14ac:dyDescent="0.2">
      <c r="AI27" s="5"/>
    </row>
    <row r="28" spans="3:35" x14ac:dyDescent="0.2">
      <c r="AI28" s="5"/>
    </row>
    <row r="29" spans="3:35" x14ac:dyDescent="0.2">
      <c r="AI29" s="5"/>
    </row>
    <row r="30" spans="3:35" x14ac:dyDescent="0.2">
      <c r="D30">
        <v>1</v>
      </c>
      <c r="E30">
        <v>2</v>
      </c>
      <c r="F30">
        <v>3</v>
      </c>
      <c r="G30">
        <v>4</v>
      </c>
      <c r="H30">
        <v>5</v>
      </c>
      <c r="I30">
        <v>6</v>
      </c>
      <c r="J30">
        <v>7</v>
      </c>
      <c r="K30">
        <v>8</v>
      </c>
    </row>
    <row r="31" spans="3:35" x14ac:dyDescent="0.2">
      <c r="C31">
        <v>1</v>
      </c>
      <c r="D31" t="s">
        <v>4</v>
      </c>
      <c r="E31" t="s">
        <v>3</v>
      </c>
      <c r="F31" t="s">
        <v>3</v>
      </c>
      <c r="G31" t="s">
        <v>3</v>
      </c>
      <c r="H31" t="s">
        <v>3</v>
      </c>
      <c r="I31" t="s">
        <v>3</v>
      </c>
      <c r="J31" t="s">
        <v>3</v>
      </c>
      <c r="K31" t="s">
        <v>3</v>
      </c>
    </row>
    <row r="32" spans="3:35" x14ac:dyDescent="0.2">
      <c r="C32">
        <v>2</v>
      </c>
      <c r="D32" t="s">
        <v>5</v>
      </c>
      <c r="E32" t="s">
        <v>5</v>
      </c>
      <c r="F32" t="s">
        <v>4</v>
      </c>
      <c r="G32" t="s">
        <v>4</v>
      </c>
      <c r="H32" t="s">
        <v>4</v>
      </c>
      <c r="I32" t="s">
        <v>4</v>
      </c>
      <c r="J32" t="s">
        <v>4</v>
      </c>
      <c r="K32" t="s">
        <v>4</v>
      </c>
    </row>
    <row r="33" spans="3:11" x14ac:dyDescent="0.2">
      <c r="C33">
        <v>3</v>
      </c>
      <c r="D33" t="s">
        <v>6</v>
      </c>
      <c r="E33" t="s">
        <v>6</v>
      </c>
      <c r="F33" t="s">
        <v>6</v>
      </c>
      <c r="G33" t="s">
        <v>5</v>
      </c>
      <c r="H33" t="s">
        <v>5</v>
      </c>
      <c r="I33" t="s">
        <v>5</v>
      </c>
      <c r="J33" t="s">
        <v>5</v>
      </c>
      <c r="K33" t="s">
        <v>5</v>
      </c>
    </row>
    <row r="34" spans="3:11" x14ac:dyDescent="0.2">
      <c r="C34">
        <v>4</v>
      </c>
      <c r="D34" t="s">
        <v>7</v>
      </c>
      <c r="E34" t="s">
        <v>7</v>
      </c>
      <c r="F34" t="s">
        <v>7</v>
      </c>
      <c r="G34" t="s">
        <v>7</v>
      </c>
      <c r="H34" t="s">
        <v>6</v>
      </c>
      <c r="I34" t="s">
        <v>6</v>
      </c>
      <c r="J34" t="s">
        <v>6</v>
      </c>
      <c r="K34" t="s">
        <v>6</v>
      </c>
    </row>
    <row r="35" spans="3:11" x14ac:dyDescent="0.2">
      <c r="C35">
        <v>5</v>
      </c>
      <c r="D35" t="s">
        <v>8</v>
      </c>
      <c r="E35" t="s">
        <v>8</v>
      </c>
      <c r="F35" t="s">
        <v>8</v>
      </c>
      <c r="G35" t="s">
        <v>8</v>
      </c>
      <c r="H35" t="s">
        <v>8</v>
      </c>
      <c r="I35" t="s">
        <v>7</v>
      </c>
      <c r="J35" t="s">
        <v>7</v>
      </c>
      <c r="K35" t="s">
        <v>7</v>
      </c>
    </row>
    <row r="36" spans="3:11" x14ac:dyDescent="0.2">
      <c r="C36">
        <v>6</v>
      </c>
      <c r="D36" t="s">
        <v>9</v>
      </c>
      <c r="E36" t="s">
        <v>9</v>
      </c>
      <c r="F36" t="s">
        <v>9</v>
      </c>
      <c r="G36" t="s">
        <v>9</v>
      </c>
      <c r="H36" t="s">
        <v>9</v>
      </c>
      <c r="I36" t="s">
        <v>9</v>
      </c>
      <c r="J36" t="s">
        <v>8</v>
      </c>
      <c r="K36" t="s">
        <v>8</v>
      </c>
    </row>
    <row r="37" spans="3:11" x14ac:dyDescent="0.2">
      <c r="C37">
        <v>7</v>
      </c>
      <c r="D37" t="s">
        <v>10</v>
      </c>
      <c r="E37" t="s">
        <v>10</v>
      </c>
      <c r="F37" t="s">
        <v>10</v>
      </c>
      <c r="G37" t="s">
        <v>10</v>
      </c>
      <c r="H37" t="s">
        <v>10</v>
      </c>
      <c r="I37" t="s">
        <v>10</v>
      </c>
      <c r="J37" t="s">
        <v>10</v>
      </c>
      <c r="K37" t="s">
        <v>9</v>
      </c>
    </row>
  </sheetData>
  <mergeCells count="6">
    <mergeCell ref="A13:L13"/>
    <mergeCell ref="S13:Y13"/>
    <mergeCell ref="A14:B14"/>
    <mergeCell ref="D14:E14"/>
    <mergeCell ref="H14:I14"/>
    <mergeCell ref="K14:L14"/>
  </mergeCells>
  <pageMargins left="0.7" right="0.7" top="0.75" bottom="0.75" header="0.3" footer="0.3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9"/>
  <sheetViews>
    <sheetView workbookViewId="0">
      <selection activeCell="H15" sqref="H15"/>
    </sheetView>
  </sheetViews>
  <sheetFormatPr defaultRowHeight="12.75" x14ac:dyDescent="0.2"/>
  <cols>
    <col min="2" max="2" width="13.28515625" customWidth="1"/>
    <col min="7" max="7" width="13.28515625" customWidth="1"/>
    <col min="8" max="8" width="11.28515625" customWidth="1"/>
    <col min="12" max="12" width="20.7109375" customWidth="1"/>
    <col min="13" max="13" width="21.42578125" customWidth="1"/>
    <col min="14" max="14" width="25.7109375" customWidth="1"/>
    <col min="15" max="15" width="27.7109375" customWidth="1"/>
    <col min="16" max="16" width="17.28515625" customWidth="1"/>
    <col min="17" max="17" width="19" customWidth="1"/>
    <col min="18" max="18" width="20.7109375" customWidth="1"/>
    <col min="19" max="19" width="26.28515625" customWidth="1"/>
    <col min="20" max="20" width="14" customWidth="1"/>
    <col min="21" max="21" width="14.5703125" customWidth="1"/>
    <col min="25" max="25" width="38.28515625" bestFit="1" customWidth="1"/>
    <col min="28" max="28" width="20.85546875" customWidth="1"/>
    <col min="29" max="29" width="19.7109375" customWidth="1"/>
    <col min="30" max="30" width="41.5703125" customWidth="1"/>
    <col min="31" max="31" width="20.140625" customWidth="1"/>
  </cols>
  <sheetData>
    <row r="2" spans="1:31" x14ac:dyDescent="0.2">
      <c r="A2">
        <v>1</v>
      </c>
      <c r="B2" t="s">
        <v>16</v>
      </c>
      <c r="M2" s="31" t="s">
        <v>55</v>
      </c>
      <c r="N2" s="31" t="s">
        <v>56</v>
      </c>
    </row>
    <row r="3" spans="1:31" x14ac:dyDescent="0.2">
      <c r="A3">
        <v>2</v>
      </c>
      <c r="B3" t="s">
        <v>3</v>
      </c>
      <c r="H3">
        <v>1</v>
      </c>
      <c r="I3" t="s">
        <v>12</v>
      </c>
      <c r="K3">
        <v>1</v>
      </c>
      <c r="L3" s="26" t="s">
        <v>57</v>
      </c>
      <c r="M3" t="s">
        <v>14</v>
      </c>
      <c r="N3" t="s">
        <v>20</v>
      </c>
    </row>
    <row r="4" spans="1:31" x14ac:dyDescent="0.2">
      <c r="A4">
        <v>3</v>
      </c>
      <c r="B4" t="s">
        <v>4</v>
      </c>
      <c r="H4">
        <v>2</v>
      </c>
      <c r="I4" t="s">
        <v>11</v>
      </c>
      <c r="K4">
        <v>2</v>
      </c>
      <c r="L4" s="26" t="s">
        <v>63</v>
      </c>
      <c r="M4" t="s">
        <v>15</v>
      </c>
      <c r="N4" t="s">
        <v>19</v>
      </c>
      <c r="AE4" s="5"/>
    </row>
    <row r="5" spans="1:31" x14ac:dyDescent="0.2">
      <c r="A5">
        <v>4</v>
      </c>
      <c r="B5" t="s">
        <v>5</v>
      </c>
      <c r="K5">
        <v>3</v>
      </c>
      <c r="L5" s="26" t="s">
        <v>65</v>
      </c>
      <c r="M5" t="s">
        <v>20</v>
      </c>
      <c r="N5" t="s">
        <v>64</v>
      </c>
      <c r="AE5" s="5"/>
    </row>
    <row r="6" spans="1:31" x14ac:dyDescent="0.2">
      <c r="A6">
        <v>5</v>
      </c>
      <c r="B6" t="s">
        <v>6</v>
      </c>
      <c r="K6">
        <v>4</v>
      </c>
      <c r="L6" s="85" t="s">
        <v>67</v>
      </c>
      <c r="M6" t="s">
        <v>19</v>
      </c>
      <c r="N6" t="s">
        <v>68</v>
      </c>
      <c r="AE6" s="5"/>
    </row>
    <row r="7" spans="1:31" x14ac:dyDescent="0.2">
      <c r="A7">
        <v>6</v>
      </c>
      <c r="B7" t="s">
        <v>7</v>
      </c>
      <c r="K7">
        <v>5</v>
      </c>
      <c r="L7" s="85" t="s">
        <v>85</v>
      </c>
      <c r="M7" t="s">
        <v>64</v>
      </c>
      <c r="N7" t="s">
        <v>84</v>
      </c>
      <c r="AE7" s="5"/>
    </row>
    <row r="8" spans="1:31" x14ac:dyDescent="0.2">
      <c r="A8">
        <v>7</v>
      </c>
      <c r="B8" t="s">
        <v>8</v>
      </c>
      <c r="AE8" s="5"/>
    </row>
    <row r="9" spans="1:31" x14ac:dyDescent="0.2">
      <c r="A9">
        <v>8</v>
      </c>
      <c r="B9" t="s">
        <v>9</v>
      </c>
      <c r="AE9" s="5"/>
    </row>
    <row r="10" spans="1:31" x14ac:dyDescent="0.2">
      <c r="A10">
        <v>9</v>
      </c>
      <c r="B10" t="s">
        <v>10</v>
      </c>
      <c r="O10" s="132" t="s">
        <v>53</v>
      </c>
      <c r="P10" s="132"/>
      <c r="Q10" s="132"/>
      <c r="R10" s="132"/>
      <c r="S10" s="132"/>
      <c r="T10" s="132"/>
      <c r="U10" s="132"/>
      <c r="AE10" s="5"/>
    </row>
    <row r="11" spans="1:31" x14ac:dyDescent="0.2">
      <c r="O11" s="2" t="s">
        <v>43</v>
      </c>
      <c r="P11" s="1" t="s">
        <v>58</v>
      </c>
      <c r="Q11" s="1" t="s">
        <v>59</v>
      </c>
      <c r="S11" s="2" t="s">
        <v>44</v>
      </c>
      <c r="T11" s="1" t="s">
        <v>60</v>
      </c>
      <c r="U11" s="1" t="s">
        <v>61</v>
      </c>
      <c r="AE11" s="5"/>
    </row>
    <row r="12" spans="1:31" x14ac:dyDescent="0.2">
      <c r="A12" s="132" t="s">
        <v>53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O12" s="2" t="str">
        <f>B15&amp;E15&amp;H17</f>
        <v>VicAdultFinancial year 2016/17</v>
      </c>
      <c r="P12" s="1">
        <f>VLOOKUP($O12,'WEFF values'!$E$7:$G$150,2,FALSE)</f>
        <v>1.429041198860888</v>
      </c>
      <c r="Q12" s="17">
        <f>VLOOKUP($O12,'WEFF values'!$E$7:$G$150,3,FALSE)</f>
        <v>9.4220236387322913E-4</v>
      </c>
      <c r="S12" s="2" t="str">
        <f>B15&amp;E15&amp;H18</f>
        <v>VicAdultFinancial year 2017/18</v>
      </c>
      <c r="T12" s="1">
        <f>VLOOKUP($S12,'WEFF values'!$E$7:$G$150,2,FALSE)</f>
        <v>1.3989421864863096</v>
      </c>
      <c r="U12" s="17">
        <f>VLOOKUP($S12,'WEFF values'!$E$7:$G$150,3,FALSE)</f>
        <v>9.521375527575391E-4</v>
      </c>
    </row>
    <row r="13" spans="1:31" x14ac:dyDescent="0.2">
      <c r="A13" s="133" t="s">
        <v>54</v>
      </c>
      <c r="B13" s="133"/>
      <c r="D13" s="133" t="s">
        <v>18</v>
      </c>
      <c r="E13" s="133"/>
      <c r="G13" s="133" t="s">
        <v>47</v>
      </c>
      <c r="H13" s="133"/>
    </row>
    <row r="14" spans="1:31" ht="26.45" customHeight="1" x14ac:dyDescent="0.2">
      <c r="A14" s="2"/>
      <c r="B14" s="1">
        <v>3</v>
      </c>
      <c r="C14" s="3"/>
      <c r="D14" s="2"/>
      <c r="E14" s="1">
        <v>1</v>
      </c>
      <c r="F14" s="3"/>
      <c r="H14" s="2">
        <v>2</v>
      </c>
    </row>
    <row r="15" spans="1:31" x14ac:dyDescent="0.2">
      <c r="A15" s="2"/>
      <c r="B15" s="1" t="str">
        <f>VLOOKUP(B14,$A$2:$B$10,2,FALSE)</f>
        <v>Vic</v>
      </c>
      <c r="C15" s="3"/>
      <c r="D15" s="2"/>
      <c r="E15" s="1" t="str">
        <f>VLOOKUP(E14,$H$3:$I$4,2,FALSE)</f>
        <v>Adult</v>
      </c>
      <c r="F15" s="3"/>
      <c r="H15" s="2" t="str">
        <f>VLOOKUP(H14,$K$3:$L$7,2,FALSE)</f>
        <v>2016/17 vs 2017/18</v>
      </c>
    </row>
    <row r="17" spans="7:31" x14ac:dyDescent="0.2">
      <c r="G17" t="s">
        <v>55</v>
      </c>
      <c r="H17" t="str">
        <f>VLOOKUP($H$14,$K$3:$N$7,3,FALSE)</f>
        <v>Financial year 2016/17</v>
      </c>
      <c r="AE17" s="5"/>
    </row>
    <row r="18" spans="7:31" x14ac:dyDescent="0.2">
      <c r="G18" t="s">
        <v>56</v>
      </c>
      <c r="H18" t="str">
        <f>VLOOKUP($H$14,$K$3:$N$7,4,FALSE)</f>
        <v>Financial year 2017/18</v>
      </c>
      <c r="AE18" s="5"/>
    </row>
    <row r="19" spans="7:31" x14ac:dyDescent="0.2">
      <c r="AE19" s="5"/>
    </row>
    <row r="20" spans="7:31" x14ac:dyDescent="0.2">
      <c r="AE20" s="5"/>
    </row>
    <row r="21" spans="7:31" x14ac:dyDescent="0.2">
      <c r="AE21" s="5"/>
    </row>
    <row r="22" spans="7:31" x14ac:dyDescent="0.2">
      <c r="AE22" s="5"/>
    </row>
    <row r="23" spans="7:31" x14ac:dyDescent="0.2">
      <c r="AE23" s="5"/>
    </row>
    <row r="24" spans="7:31" x14ac:dyDescent="0.2">
      <c r="AE24" s="5"/>
    </row>
    <row r="25" spans="7:31" x14ac:dyDescent="0.2">
      <c r="AE25" s="5"/>
    </row>
    <row r="26" spans="7:31" x14ac:dyDescent="0.2">
      <c r="AE26" s="5"/>
    </row>
    <row r="27" spans="7:31" x14ac:dyDescent="0.2">
      <c r="AE27" s="5"/>
    </row>
    <row r="28" spans="7:31" x14ac:dyDescent="0.2">
      <c r="AE28" s="5"/>
    </row>
    <row r="29" spans="7:31" x14ac:dyDescent="0.2">
      <c r="AE29" s="5"/>
    </row>
  </sheetData>
  <sortState ref="AB4:AE28">
    <sortCondition descending="1" ref="AE4:AE28"/>
  </sortState>
  <mergeCells count="5">
    <mergeCell ref="O10:U10"/>
    <mergeCell ref="A12:L12"/>
    <mergeCell ref="A13:B13"/>
    <mergeCell ref="D13:E13"/>
    <mergeCell ref="G13:H13"/>
  </mergeCells>
  <pageMargins left="0.7" right="0.7" top="0.75" bottom="0.75" header="0.3" footer="0.3"/>
  <pageSetup paperSize="9"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7"/>
  <sheetViews>
    <sheetView workbookViewId="0">
      <selection activeCell="O15" sqref="O15"/>
    </sheetView>
  </sheetViews>
  <sheetFormatPr defaultRowHeight="12.75" x14ac:dyDescent="0.2"/>
  <cols>
    <col min="2" max="2" width="13.28515625" customWidth="1"/>
    <col min="6" max="6" width="20.7109375" customWidth="1"/>
    <col min="7" max="7" width="7.7109375" customWidth="1"/>
    <col min="8" max="8" width="9.42578125" customWidth="1"/>
    <col min="9" max="9" width="24.140625" customWidth="1"/>
    <col min="10" max="10" width="21.28515625" customWidth="1"/>
    <col min="11" max="11" width="20.5703125" customWidth="1"/>
    <col min="12" max="12" width="20.7109375" customWidth="1"/>
    <col min="13" max="13" width="28.5703125" customWidth="1"/>
    <col min="14" max="14" width="14" customWidth="1"/>
    <col min="15" max="15" width="14.5703125" customWidth="1"/>
    <col min="19" max="19" width="38.28515625" bestFit="1" customWidth="1"/>
    <col min="22" max="22" width="20.85546875" customWidth="1"/>
    <col min="23" max="23" width="19.7109375" customWidth="1"/>
    <col min="24" max="24" width="41.5703125" customWidth="1"/>
    <col min="25" max="25" width="20.140625" customWidth="1"/>
  </cols>
  <sheetData>
    <row r="2" spans="1:25" x14ac:dyDescent="0.2">
      <c r="A2">
        <v>1</v>
      </c>
      <c r="B2" t="s">
        <v>16</v>
      </c>
      <c r="I2" s="4"/>
      <c r="J2" s="4"/>
      <c r="K2" s="4"/>
      <c r="L2" s="4"/>
      <c r="M2" s="4"/>
    </row>
    <row r="3" spans="1:25" x14ac:dyDescent="0.2">
      <c r="A3">
        <v>2</v>
      </c>
      <c r="B3" t="s">
        <v>3</v>
      </c>
      <c r="E3">
        <v>1</v>
      </c>
      <c r="F3" t="s">
        <v>17</v>
      </c>
      <c r="I3" s="4"/>
      <c r="J3" s="4"/>
      <c r="K3" s="4"/>
      <c r="L3" s="4"/>
      <c r="M3" s="4"/>
    </row>
    <row r="4" spans="1:25" x14ac:dyDescent="0.2">
      <c r="A4">
        <v>3</v>
      </c>
      <c r="B4" t="s">
        <v>4</v>
      </c>
      <c r="E4">
        <v>2</v>
      </c>
      <c r="F4" t="s">
        <v>14</v>
      </c>
      <c r="G4" s="27"/>
      <c r="H4" s="27"/>
      <c r="I4" s="4"/>
      <c r="J4" s="4"/>
      <c r="K4" s="4"/>
      <c r="L4" s="4"/>
      <c r="M4" s="4"/>
      <c r="Y4" s="5"/>
    </row>
    <row r="5" spans="1:25" x14ac:dyDescent="0.2">
      <c r="A5">
        <v>4</v>
      </c>
      <c r="B5" t="s">
        <v>5</v>
      </c>
      <c r="E5">
        <v>3</v>
      </c>
      <c r="F5" t="s">
        <v>15</v>
      </c>
      <c r="I5" s="4"/>
      <c r="J5" s="4"/>
      <c r="K5" s="4"/>
      <c r="L5" s="4"/>
      <c r="M5" s="4"/>
      <c r="Y5" s="5"/>
    </row>
    <row r="6" spans="1:25" x14ac:dyDescent="0.2">
      <c r="A6">
        <v>5</v>
      </c>
      <c r="B6" t="s">
        <v>6</v>
      </c>
      <c r="E6">
        <v>4</v>
      </c>
      <c r="F6" t="s">
        <v>20</v>
      </c>
      <c r="I6" s="4"/>
      <c r="J6" s="4"/>
      <c r="K6" s="4"/>
      <c r="L6" s="4"/>
      <c r="M6" s="4"/>
      <c r="Y6" s="5"/>
    </row>
    <row r="7" spans="1:25" x14ac:dyDescent="0.2">
      <c r="A7">
        <v>6</v>
      </c>
      <c r="B7" t="s">
        <v>7</v>
      </c>
      <c r="E7">
        <v>5</v>
      </c>
      <c r="F7" t="s">
        <v>19</v>
      </c>
      <c r="Y7" s="5"/>
    </row>
    <row r="8" spans="1:25" x14ac:dyDescent="0.2">
      <c r="A8">
        <v>7</v>
      </c>
      <c r="B8" t="s">
        <v>8</v>
      </c>
      <c r="E8">
        <v>6</v>
      </c>
      <c r="F8" t="s">
        <v>64</v>
      </c>
      <c r="Y8" s="5"/>
    </row>
    <row r="9" spans="1:25" x14ac:dyDescent="0.2">
      <c r="A9">
        <v>8</v>
      </c>
      <c r="B9" t="s">
        <v>9</v>
      </c>
      <c r="E9">
        <v>7</v>
      </c>
      <c r="F9" t="s">
        <v>68</v>
      </c>
      <c r="Y9" s="5"/>
    </row>
    <row r="10" spans="1:25" x14ac:dyDescent="0.2">
      <c r="A10">
        <v>9</v>
      </c>
      <c r="B10" t="s">
        <v>10</v>
      </c>
      <c r="E10">
        <v>8</v>
      </c>
      <c r="F10" t="s">
        <v>84</v>
      </c>
      <c r="Y10" s="5"/>
    </row>
    <row r="11" spans="1:25" x14ac:dyDescent="0.2">
      <c r="Y11" s="5"/>
    </row>
    <row r="12" spans="1:25" x14ac:dyDescent="0.2">
      <c r="I12" t="s">
        <v>12</v>
      </c>
      <c r="M12" t="s">
        <v>11</v>
      </c>
    </row>
    <row r="13" spans="1:25" x14ac:dyDescent="0.2">
      <c r="A13" s="132" t="s">
        <v>71</v>
      </c>
      <c r="B13" s="132"/>
      <c r="C13" s="132"/>
      <c r="D13" s="132"/>
      <c r="E13" s="132"/>
      <c r="F13" s="132"/>
      <c r="I13" s="132" t="s">
        <v>71</v>
      </c>
      <c r="J13" s="132"/>
      <c r="K13" s="132"/>
      <c r="L13" s="132"/>
      <c r="M13" s="132"/>
      <c r="N13" s="132"/>
      <c r="O13" s="132"/>
    </row>
    <row r="14" spans="1:25" ht="26.45" customHeight="1" x14ac:dyDescent="0.2">
      <c r="A14" s="133" t="s">
        <v>54</v>
      </c>
      <c r="B14" s="133"/>
      <c r="E14" s="133" t="s">
        <v>47</v>
      </c>
      <c r="F14" s="133"/>
      <c r="I14" s="2" t="s">
        <v>43</v>
      </c>
      <c r="J14" s="1" t="s">
        <v>73</v>
      </c>
      <c r="K14" s="1" t="s">
        <v>74</v>
      </c>
      <c r="M14" s="2" t="s">
        <v>44</v>
      </c>
      <c r="N14" s="1" t="s">
        <v>75</v>
      </c>
      <c r="O14" s="1" t="s">
        <v>76</v>
      </c>
    </row>
    <row r="15" spans="1:25" x14ac:dyDescent="0.2">
      <c r="A15" s="1">
        <v>5</v>
      </c>
      <c r="B15" s="1" t="str">
        <f>VLOOKUP(A15,$A$2:$B$10,2,FALSE)</f>
        <v>SA</v>
      </c>
      <c r="C15" s="3"/>
      <c r="E15" s="2">
        <v>2</v>
      </c>
      <c r="F15" s="2" t="str">
        <f>VLOOKUP(E15,$E$3:$F$10,2,FALSE)</f>
        <v>Calendar year 2016</v>
      </c>
      <c r="I15" s="2" t="str">
        <f>B15&amp;I12&amp;F15</f>
        <v>SAAdultCalendar year 2016</v>
      </c>
      <c r="J15" s="1">
        <f>VLOOKUP($I15,'WEFF values'!$E$7:$G$150,2,FALSE)</f>
        <v>1.4561646872233376</v>
      </c>
      <c r="K15" s="17">
        <f>VLOOKUP($I15,'WEFF values'!$E$7:$G$150,3,FALSE)</f>
        <v>1.0909432107340969E-3</v>
      </c>
      <c r="M15" s="2" t="str">
        <f>B15&amp;M12&amp;F15</f>
        <v>SAChildCalendar year 2016</v>
      </c>
      <c r="N15" s="1">
        <f>VLOOKUP($M15,'WEFF values'!$E$7:$G$150,2,FALSE)</f>
        <v>1.5854479856132044</v>
      </c>
      <c r="O15" s="17">
        <f>VLOOKUP($M15,'WEFF values'!$E$7:$G$150,3,FALSE)</f>
        <v>7.3676722354249131E-4</v>
      </c>
    </row>
    <row r="16" spans="1:25" x14ac:dyDescent="0.2">
      <c r="A16" s="2"/>
      <c r="C16" s="3"/>
    </row>
    <row r="17" spans="3:25" x14ac:dyDescent="0.2">
      <c r="Y17" s="5"/>
    </row>
    <row r="18" spans="3:25" x14ac:dyDescent="0.2">
      <c r="Y18" s="5"/>
    </row>
    <row r="19" spans="3:25" x14ac:dyDescent="0.2">
      <c r="Y19" s="5"/>
    </row>
    <row r="20" spans="3:25" x14ac:dyDescent="0.2">
      <c r="Y20" s="5"/>
    </row>
    <row r="21" spans="3:25" x14ac:dyDescent="0.2">
      <c r="Y21" s="5"/>
    </row>
    <row r="22" spans="3:25" x14ac:dyDescent="0.2">
      <c r="Y22" s="5"/>
    </row>
    <row r="23" spans="3:25" x14ac:dyDescent="0.2">
      <c r="Y23" s="5"/>
    </row>
    <row r="24" spans="3:25" x14ac:dyDescent="0.2">
      <c r="Y24" s="5"/>
    </row>
    <row r="25" spans="3:25" x14ac:dyDescent="0.2">
      <c r="Y25" s="5"/>
    </row>
    <row r="26" spans="3:25" x14ac:dyDescent="0.2">
      <c r="Y26" s="5"/>
    </row>
    <row r="27" spans="3:25" x14ac:dyDescent="0.2">
      <c r="Y27" s="5"/>
    </row>
    <row r="28" spans="3:25" x14ac:dyDescent="0.2">
      <c r="Y28" s="5"/>
    </row>
    <row r="29" spans="3:25" x14ac:dyDescent="0.2">
      <c r="Y29" s="5"/>
    </row>
    <row r="30" spans="3:25" x14ac:dyDescent="0.2">
      <c r="D30">
        <v>7</v>
      </c>
      <c r="E30">
        <v>8</v>
      </c>
    </row>
    <row r="31" spans="3:25" x14ac:dyDescent="0.2">
      <c r="C31">
        <v>1</v>
      </c>
      <c r="D31" t="s">
        <v>3</v>
      </c>
      <c r="E31" t="s">
        <v>3</v>
      </c>
    </row>
    <row r="32" spans="3:25" x14ac:dyDescent="0.2">
      <c r="C32">
        <v>2</v>
      </c>
      <c r="D32" t="s">
        <v>4</v>
      </c>
      <c r="E32" t="s">
        <v>4</v>
      </c>
    </row>
    <row r="33" spans="3:5" x14ac:dyDescent="0.2">
      <c r="C33">
        <v>3</v>
      </c>
      <c r="D33" t="s">
        <v>5</v>
      </c>
      <c r="E33" t="s">
        <v>5</v>
      </c>
    </row>
    <row r="34" spans="3:5" x14ac:dyDescent="0.2">
      <c r="C34">
        <v>4</v>
      </c>
      <c r="D34" t="s">
        <v>6</v>
      </c>
      <c r="E34" t="s">
        <v>6</v>
      </c>
    </row>
    <row r="35" spans="3:5" x14ac:dyDescent="0.2">
      <c r="C35">
        <v>5</v>
      </c>
      <c r="D35" t="s">
        <v>7</v>
      </c>
      <c r="E35" t="s">
        <v>7</v>
      </c>
    </row>
    <row r="36" spans="3:5" x14ac:dyDescent="0.2">
      <c r="C36">
        <v>6</v>
      </c>
      <c r="D36" t="s">
        <v>8</v>
      </c>
      <c r="E36" t="s">
        <v>8</v>
      </c>
    </row>
    <row r="37" spans="3:5" x14ac:dyDescent="0.2">
      <c r="C37">
        <v>7</v>
      </c>
      <c r="D37" t="s">
        <v>10</v>
      </c>
      <c r="E37" t="s">
        <v>9</v>
      </c>
    </row>
  </sheetData>
  <mergeCells count="4">
    <mergeCell ref="A13:F13"/>
    <mergeCell ref="I13:O13"/>
    <mergeCell ref="A14:B14"/>
    <mergeCell ref="E14:F14"/>
  </mergeCells>
  <pageMargins left="0.7" right="0.7" top="0.75" bottom="0.75" header="0.3" footer="0.3"/>
  <pageSetup paperSize="9" orientation="portrait" verticalDpi="597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9"/>
  <sheetViews>
    <sheetView workbookViewId="0">
      <selection activeCell="F19" sqref="F19"/>
    </sheetView>
  </sheetViews>
  <sheetFormatPr defaultRowHeight="12.75" x14ac:dyDescent="0.2"/>
  <sheetData>
    <row r="1" spans="2:2" x14ac:dyDescent="0.2">
      <c r="B1" t="s">
        <v>36</v>
      </c>
    </row>
    <row r="3" spans="2:2" x14ac:dyDescent="0.2">
      <c r="B3" s="16" t="s">
        <v>87</v>
      </c>
    </row>
    <row r="5" spans="2:2" x14ac:dyDescent="0.2">
      <c r="B5" t="s">
        <v>88</v>
      </c>
    </row>
    <row r="6" spans="2:2" x14ac:dyDescent="0.2">
      <c r="B6" t="s">
        <v>90</v>
      </c>
    </row>
    <row r="7" spans="2:2" x14ac:dyDescent="0.2">
      <c r="B7" t="s">
        <v>89</v>
      </c>
    </row>
    <row r="9" spans="2:2" x14ac:dyDescent="0.2">
      <c r="B9" t="s">
        <v>91</v>
      </c>
    </row>
  </sheetData>
  <pageMargins left="0.7" right="0.7" top="0.75" bottom="0.75" header="0.3" footer="0.3"/>
  <pageSetup paperSize="9" orientation="portrait" verticalDpi="597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0"/>
  <sheetViews>
    <sheetView workbookViewId="0">
      <selection activeCell="J4" sqref="J4"/>
    </sheetView>
  </sheetViews>
  <sheetFormatPr defaultRowHeight="12.75" x14ac:dyDescent="0.2"/>
  <cols>
    <col min="1" max="1" width="10" customWidth="1"/>
    <col min="3" max="7" width="12.28515625" customWidth="1"/>
    <col min="14" max="16" width="12.28515625" customWidth="1"/>
    <col min="17" max="17" width="9.28515625" bestFit="1" customWidth="1"/>
  </cols>
  <sheetData>
    <row r="2" spans="1:23" x14ac:dyDescent="0.2">
      <c r="C2" s="134" t="s">
        <v>2</v>
      </c>
      <c r="D2" s="134"/>
      <c r="E2" s="134"/>
      <c r="F2" s="134"/>
      <c r="G2" s="134"/>
      <c r="H2" s="134"/>
      <c r="I2" s="134"/>
      <c r="J2" s="134"/>
      <c r="N2" s="134" t="s">
        <v>24</v>
      </c>
      <c r="O2" s="134"/>
      <c r="P2" s="134"/>
      <c r="Q2" s="134"/>
      <c r="R2" s="134"/>
      <c r="S2" s="134"/>
      <c r="T2" s="134"/>
      <c r="U2" s="134"/>
    </row>
    <row r="3" spans="1:23" ht="25.5" x14ac:dyDescent="0.2">
      <c r="A3" s="2" t="s">
        <v>25</v>
      </c>
      <c r="B3" s="2" t="s">
        <v>26</v>
      </c>
      <c r="C3" s="28" t="s">
        <v>27</v>
      </c>
      <c r="D3" s="28" t="s">
        <v>28</v>
      </c>
      <c r="E3" s="28" t="s">
        <v>29</v>
      </c>
      <c r="F3" s="28" t="s">
        <v>51</v>
      </c>
      <c r="G3" s="28" t="s">
        <v>62</v>
      </c>
      <c r="H3" s="28" t="s">
        <v>66</v>
      </c>
      <c r="I3" s="28" t="s">
        <v>69</v>
      </c>
      <c r="J3" s="28" t="s">
        <v>86</v>
      </c>
      <c r="L3" s="2" t="s">
        <v>25</v>
      </c>
      <c r="M3" s="2" t="s">
        <v>26</v>
      </c>
      <c r="N3" s="28" t="s">
        <v>27</v>
      </c>
      <c r="O3" s="28" t="s">
        <v>28</v>
      </c>
      <c r="P3" s="28" t="s">
        <v>29</v>
      </c>
      <c r="Q3" s="28" t="s">
        <v>51</v>
      </c>
      <c r="R3" s="28" t="s">
        <v>62</v>
      </c>
      <c r="S3" s="28" t="s">
        <v>66</v>
      </c>
      <c r="T3" s="28" t="s">
        <v>69</v>
      </c>
      <c r="U3" s="28" t="s">
        <v>86</v>
      </c>
    </row>
    <row r="4" spans="1:23" x14ac:dyDescent="0.2">
      <c r="A4" s="2">
        <v>1</v>
      </c>
      <c r="B4" s="2" t="s">
        <v>3</v>
      </c>
      <c r="C4" s="92">
        <f>'[3]Q4, 2015 - Q3, 2016'!J30</f>
        <v>1.3592722930192671</v>
      </c>
      <c r="D4" s="92">
        <f>'[3]Calendar 2016'!J30</f>
        <v>1.3752370164230932</v>
      </c>
      <c r="E4" s="92">
        <f>'[3]Financial 16_17'!J30</f>
        <v>1.4260857472875599</v>
      </c>
      <c r="F4" s="92">
        <f>'[3]Calendar 2017'!J30</f>
        <v>1.4140346157707868</v>
      </c>
      <c r="G4" s="92">
        <f>'[3]Financial 2017_18'!J30</f>
        <v>1.4326230334031986</v>
      </c>
      <c r="H4" s="92">
        <f>'[3]Calendar 2018 '!J30</f>
        <v>1.5044993924207106</v>
      </c>
      <c r="I4" s="92">
        <f>'[3]Financial 2018_19'!J30</f>
        <v>1.4519204109243695</v>
      </c>
      <c r="J4" s="92">
        <f>'[3]Calendar 2019'!J30</f>
        <v>1.2489273879622322</v>
      </c>
      <c r="L4" s="2">
        <v>1</v>
      </c>
      <c r="M4" s="2" t="s">
        <v>3</v>
      </c>
      <c r="N4" s="93">
        <f>'[3]Q4, 2015 - Q3, 2016'!N30</f>
        <v>8.3340443346632744E-4</v>
      </c>
      <c r="O4" s="93">
        <f>'[3]Calendar 2016'!N30</f>
        <v>8.3032668769751064E-4</v>
      </c>
      <c r="P4" s="93">
        <f>'[3]Financial 16_17'!N30</f>
        <v>8.1871573373866057E-4</v>
      </c>
      <c r="Q4" s="93">
        <f>'[3]Calendar 2017'!N30</f>
        <v>8.2382322021599811E-4</v>
      </c>
      <c r="R4" s="93">
        <f>'[3]Financial 2017_18'!N30</f>
        <v>8.0645423483854863E-4</v>
      </c>
      <c r="S4" s="93">
        <f>'[3]Calendar 2018 '!N30</f>
        <v>7.8184594809154687E-4</v>
      </c>
      <c r="T4" s="94">
        <f>'[3]Financial 2018_19'!N30</f>
        <v>7.9856169169462089E-4</v>
      </c>
      <c r="U4" s="2">
        <f>'[3]Calendar 2019'!N30</f>
        <v>9.2332172904471073E-4</v>
      </c>
    </row>
    <row r="5" spans="1:23" x14ac:dyDescent="0.2">
      <c r="A5" s="2">
        <v>2</v>
      </c>
      <c r="B5" s="2" t="s">
        <v>4</v>
      </c>
      <c r="C5" s="92">
        <f>'[3]Q4, 2015 - Q3, 2016'!J31</f>
        <v>1.43584650463162</v>
      </c>
      <c r="D5" s="92">
        <f>'[3]Calendar 2016'!J31</f>
        <v>1.4040634864755583</v>
      </c>
      <c r="E5" s="92">
        <f>'[3]Financial 16_17'!J31</f>
        <v>1.429041198860888</v>
      </c>
      <c r="F5" s="92">
        <f>'[3]Calendar 2017'!J31</f>
        <v>1.4417160631970305</v>
      </c>
      <c r="G5" s="92">
        <f>'[3]Financial 2017_18'!J31</f>
        <v>1.3989421864863096</v>
      </c>
      <c r="H5" s="92">
        <f>'[3]Calendar 2018 '!J31</f>
        <v>1.3717970107452642</v>
      </c>
      <c r="I5" s="92">
        <f>'[3]Financial 2018_19'!J31</f>
        <v>1.3763225364727538</v>
      </c>
      <c r="J5" s="92">
        <f>'[3]Calendar 2019'!J31</f>
        <v>1.2392240136514037</v>
      </c>
      <c r="L5" s="2">
        <v>2</v>
      </c>
      <c r="M5" s="2" t="s">
        <v>4</v>
      </c>
      <c r="N5" s="93">
        <f>'[3]Dec 2015 to Sep 2016'!N31</f>
        <v>9.0133206400820804E-4</v>
      </c>
      <c r="O5" s="93">
        <f>'[3]Calendar 2016'!N31</f>
        <v>9.3256074433866441E-4</v>
      </c>
      <c r="P5" s="93">
        <f>'[3]Financial 16_17'!N31</f>
        <v>9.4220236387322913E-4</v>
      </c>
      <c r="Q5" s="93">
        <f>'[3]Calendar 2017'!N31</f>
        <v>9.5667056330952236E-4</v>
      </c>
      <c r="R5" s="93">
        <f>'[3]Financial 2017_18'!N31</f>
        <v>9.521375527575391E-4</v>
      </c>
      <c r="S5" s="93">
        <f>'[3]Calendar 2018 '!N31</f>
        <v>9.5157849893096785E-4</v>
      </c>
      <c r="T5" s="94">
        <f>'[3]Financial 2018_19'!N31</f>
        <v>9.0318781860657148E-4</v>
      </c>
      <c r="U5" s="2">
        <f>'[3]Calendar 2019'!N31</f>
        <v>8.5511377087817792E-4</v>
      </c>
    </row>
    <row r="6" spans="1:23" x14ac:dyDescent="0.2">
      <c r="A6" s="2">
        <v>3</v>
      </c>
      <c r="B6" s="2" t="s">
        <v>5</v>
      </c>
      <c r="C6" s="92">
        <f>'[3]Q4, 2015 - Q3, 2016'!J32</f>
        <v>1.3640377042163001</v>
      </c>
      <c r="D6" s="92">
        <f>'[3]Calendar 2016'!J32</f>
        <v>1.3885455717331823</v>
      </c>
      <c r="E6" s="92">
        <f>'[3]Financial 16_17'!J32</f>
        <v>1.4278792565344387</v>
      </c>
      <c r="F6" s="92">
        <f>'[3]Calendar 2017'!J32</f>
        <v>1.4047645868197829</v>
      </c>
      <c r="G6" s="92">
        <f>'[3]Financial 2017_18'!J32</f>
        <v>1.3665020115181088</v>
      </c>
      <c r="H6" s="92">
        <f>'[3]Calendar 2018 '!J32</f>
        <v>1.3887869613451072</v>
      </c>
      <c r="I6" s="92">
        <f>'[3]Financial 2018_19'!J32</f>
        <v>1.4290423934019993</v>
      </c>
      <c r="J6" s="92">
        <f>'[3]Calendar 2019'!J32</f>
        <v>1.279071188040938</v>
      </c>
      <c r="L6" s="2">
        <v>3</v>
      </c>
      <c r="M6" s="2" t="s">
        <v>5</v>
      </c>
      <c r="N6" s="93">
        <f>'[3]Dec 2015 to Sep 2016'!N32</f>
        <v>9.1819562070648427E-4</v>
      </c>
      <c r="O6" s="93">
        <f>'[3]Calendar 2016'!N32</f>
        <v>9.1161032788471816E-4</v>
      </c>
      <c r="P6" s="93">
        <f>'[3]Financial 16_17'!N32</f>
        <v>9.0189723455263169E-4</v>
      </c>
      <c r="Q6" s="93">
        <f>'[3]Calendar 2017'!N32</f>
        <v>8.6091533616534314E-4</v>
      </c>
      <c r="R6" s="93">
        <f>'[3]Financial 2017_18'!N32</f>
        <v>8.6125025519598591E-4</v>
      </c>
      <c r="S6" s="93">
        <f>'[3]Calendar 2018 '!N32</f>
        <v>8.6614633477111375E-4</v>
      </c>
      <c r="T6" s="94">
        <f>'[3]Financial 2018_19'!N32</f>
        <v>8.7568816887861629E-4</v>
      </c>
      <c r="U6" s="2">
        <f>'[3]Calendar 2019'!N32</f>
        <v>8.9237077009172668E-4</v>
      </c>
    </row>
    <row r="7" spans="1:23" x14ac:dyDescent="0.2">
      <c r="A7" s="2">
        <v>4</v>
      </c>
      <c r="B7" s="2" t="s">
        <v>6</v>
      </c>
      <c r="C7" s="92">
        <f>'[3]Q4, 2015 - Q3, 2016'!J33</f>
        <v>1.4768783403914767</v>
      </c>
      <c r="D7" s="92">
        <f>'[3]Calendar 2016'!J33</f>
        <v>1.4561646872233376</v>
      </c>
      <c r="E7" s="92">
        <f>'[3]Financial 16_17'!J33</f>
        <v>1.4464823929414612</v>
      </c>
      <c r="F7" s="92">
        <f>'[3]Calendar 2017'!J33</f>
        <v>1.7647325162372633</v>
      </c>
      <c r="G7" s="92">
        <f>'[3]Financial 2017_18'!J33</f>
        <v>2.1818670841417913</v>
      </c>
      <c r="H7" s="92">
        <f>'[3]Calendar 2018 '!J33</f>
        <v>2.4933406579567987</v>
      </c>
      <c r="I7" s="92">
        <f>'[3]Financial 2018_19'!J33</f>
        <v>2.7134201938011224</v>
      </c>
      <c r="J7" s="92">
        <f>'[3]Calendar 2019'!J33</f>
        <v>1.866122560166988</v>
      </c>
      <c r="L7" s="2">
        <v>4</v>
      </c>
      <c r="M7" s="2" t="s">
        <v>6</v>
      </c>
      <c r="N7" s="93">
        <f>'[3]Dec 2015 to Sep 2016'!N33</f>
        <v>1.1243603172755769E-3</v>
      </c>
      <c r="O7" s="93">
        <f>'[3]Calendar 2016'!N33</f>
        <v>1.0843115562738171E-3</v>
      </c>
      <c r="P7" s="93">
        <f>'[3]Financial 16_17'!N33</f>
        <v>1.0909432107340969E-3</v>
      </c>
      <c r="Q7" s="93">
        <f>'[3]Calendar 2017'!N33</f>
        <v>1.3992748578600148E-3</v>
      </c>
      <c r="R7" s="93">
        <f>'[3]Financial 2017_18'!N33</f>
        <v>1.7047016962752817E-3</v>
      </c>
      <c r="S7" s="93">
        <f>'[3]Calendar 2018 '!N33</f>
        <v>1.7193913313272621E-3</v>
      </c>
      <c r="T7" s="94">
        <f>'[3]Financial 2018_19'!N33</f>
        <v>1.7023106565814965E-3</v>
      </c>
      <c r="U7" s="2">
        <f>'[3]Calendar 2019'!N33</f>
        <v>1.3846423306123194E-3</v>
      </c>
    </row>
    <row r="8" spans="1:23" x14ac:dyDescent="0.2">
      <c r="A8" s="2">
        <v>5</v>
      </c>
      <c r="B8" s="2" t="s">
        <v>7</v>
      </c>
      <c r="C8" s="92">
        <f>'[3]Q4, 2015 - Q3, 2016'!J34</f>
        <v>1.6122710058141834</v>
      </c>
      <c r="D8" s="92">
        <f>'[3]Calendar 2016'!J34</f>
        <v>1.6775968268051922</v>
      </c>
      <c r="E8" s="92">
        <f>'[3]Financial 16_17'!J34</f>
        <v>1.7227171621056006</v>
      </c>
      <c r="F8" s="92">
        <f>'[3]Calendar 2017'!J34</f>
        <v>1.7189864238768218</v>
      </c>
      <c r="G8" s="92">
        <f>'[3]Financial 2017_18'!J34</f>
        <v>1.7486343638784716</v>
      </c>
      <c r="H8" s="92">
        <f>'[3]Calendar 2018 '!J34</f>
        <v>1.8107103193613117</v>
      </c>
      <c r="I8" s="92">
        <f>'[3]Financial 2018_19'!J34</f>
        <v>1.9218833936907331</v>
      </c>
      <c r="J8" s="92">
        <f>'[3]Calendar 2019'!J34</f>
        <v>1.5666006762004323</v>
      </c>
      <c r="L8" s="2">
        <v>5</v>
      </c>
      <c r="M8" s="2" t="s">
        <v>7</v>
      </c>
      <c r="N8" s="93">
        <f>'[3]Dec 2015 to Sep 2016'!N34</f>
        <v>1.1410161377595532E-3</v>
      </c>
      <c r="O8" s="93">
        <f>'[3]Calendar 2016'!N34</f>
        <v>1.1442280165304248E-3</v>
      </c>
      <c r="P8" s="93">
        <f>'[3]Financial 16_17'!N34</f>
        <v>1.0852070778636076E-3</v>
      </c>
      <c r="Q8" s="93">
        <f>'[3]Calendar 2017'!N34</f>
        <v>1.0569739211173873E-3</v>
      </c>
      <c r="R8" s="93">
        <f>'[3]Financial 2017_18'!N34</f>
        <v>1.0754686377146615E-3</v>
      </c>
      <c r="S8" s="93">
        <f>'[3]Calendar 2018 '!N34</f>
        <v>1.0760620707199178E-3</v>
      </c>
      <c r="T8" s="94">
        <f>'[3]Financial 2018_19'!N34</f>
        <v>1.0590302676164458E-3</v>
      </c>
      <c r="U8" s="2">
        <f>'[3]Calendar 2019'!N34</f>
        <v>1.0066074918210373E-3</v>
      </c>
      <c r="W8" t="str">
        <f ca="1">CELL("filename")</f>
        <v>S:\corp_planning_research\Research Projects\A AusPlay Survey 2015\Data\Reports\National Tables\Release 8 Apr 20\[Significance Testing for AusPlay Estimates of Proportion Jun20.xlsx]Sig test across jurisdictions</v>
      </c>
    </row>
    <row r="9" spans="1:23" x14ac:dyDescent="0.2">
      <c r="A9" s="2">
        <v>6</v>
      </c>
      <c r="B9" s="2" t="s">
        <v>8</v>
      </c>
      <c r="C9" s="92">
        <f>'[3]Q4, 2015 - Q3, 2016'!J35</f>
        <v>2.6681746332879275</v>
      </c>
      <c r="D9" s="92">
        <f>'[3]Calendar 2016'!J35</f>
        <v>2.5164659432325767</v>
      </c>
      <c r="E9" s="92">
        <f>'[3]Financial 16_17'!J35</f>
        <v>2.4941934048898746</v>
      </c>
      <c r="F9" s="92">
        <f>'[3]Calendar 2017'!J35</f>
        <v>2.8479305887948159</v>
      </c>
      <c r="G9" s="92">
        <f>'[3]Financial 2017_18'!J35</f>
        <v>3.5213893632477733</v>
      </c>
      <c r="H9" s="92">
        <f>'[3]Calendar 2018 '!J35</f>
        <v>3.8085782584487244</v>
      </c>
      <c r="I9" s="92">
        <f>'[3]Financial 2018_19'!J35</f>
        <v>3.4325804256365382</v>
      </c>
      <c r="J9" s="92">
        <f>'[3]Calendar 2019'!J35</f>
        <v>2.1445061215401151</v>
      </c>
      <c r="L9" s="2">
        <v>6</v>
      </c>
      <c r="M9" s="2" t="s">
        <v>8</v>
      </c>
      <c r="N9" s="93">
        <f>'[3]Dec 2015 to Sep 2016'!N35</f>
        <v>2.7115240946828556E-3</v>
      </c>
      <c r="O9" s="93">
        <f>'[3]Calendar 2016'!N35</f>
        <v>2.5921249277770083E-3</v>
      </c>
      <c r="P9" s="93">
        <f>'[3]Financial 16_17'!N35</f>
        <v>2.5997484264987658E-3</v>
      </c>
      <c r="Q9" s="93">
        <f>'[3]Calendar 2017'!N35</f>
        <v>2.6099836527093403E-3</v>
      </c>
      <c r="R9" s="93">
        <f>'[3]Financial 2017_18'!N35</f>
        <v>2.6228413302745112E-3</v>
      </c>
      <c r="S9" s="93">
        <f>'[3]Calendar 2018 '!N35</f>
        <v>2.6034381105420746E-3</v>
      </c>
      <c r="T9" s="94">
        <f>'[3]Financial 2018_19'!N35</f>
        <v>2.5957948584358148E-3</v>
      </c>
      <c r="U9" s="2">
        <f>'[3]Calendar 2019'!N35</f>
        <v>1.9180552706990137E-3</v>
      </c>
    </row>
    <row r="10" spans="1:23" x14ac:dyDescent="0.2">
      <c r="A10" s="2">
        <v>7</v>
      </c>
      <c r="B10" s="2" t="s">
        <v>9</v>
      </c>
      <c r="C10" s="92">
        <f>'[3]Q4, 2015 - Q3, 2016'!J36</f>
        <v>2.8055634354363752</v>
      </c>
      <c r="D10" s="92">
        <f>'[3]Calendar 2016'!J36</f>
        <v>3.1021152655661228</v>
      </c>
      <c r="E10" s="92">
        <f>'[3]Financial 16_17'!J36</f>
        <v>3.2124108491835508</v>
      </c>
      <c r="F10" s="92">
        <f>'[3]Calendar 2017'!J36</f>
        <v>2.9021773988018755</v>
      </c>
      <c r="G10" s="92">
        <f>'[3]Financial 2017_18'!J36</f>
        <v>4.1148943175192416</v>
      </c>
      <c r="H10" s="92">
        <f>'[3]Calendar 2018 '!J36</f>
        <v>7.2527205217943447</v>
      </c>
      <c r="I10" s="92">
        <f>'[3]Financial 2018_19'!J36</f>
        <v>7.1440256017674963</v>
      </c>
      <c r="J10" s="92">
        <f>'[3]Calendar 2019'!J36</f>
        <v>2.8423560074865257</v>
      </c>
      <c r="L10" s="2">
        <v>7</v>
      </c>
      <c r="M10" s="2" t="s">
        <v>9</v>
      </c>
      <c r="N10" s="93">
        <f>'[3]Dec 2015 to Sep 2016'!N36</f>
        <v>2.8702084597227672E-3</v>
      </c>
      <c r="O10" s="93">
        <f>'[3]Calendar 2016'!N36</f>
        <v>2.7357698095873753E-3</v>
      </c>
      <c r="P10" s="93">
        <f>'[3]Financial 16_17'!N36</f>
        <v>2.7174596784339381E-3</v>
      </c>
      <c r="Q10" s="93">
        <f>'[3]Calendar 2017'!N36</f>
        <v>2.7244727259572157E-3</v>
      </c>
      <c r="R10" s="93">
        <f>'[3]Financial 2017_18'!N36</f>
        <v>2.6223213976478278E-3</v>
      </c>
      <c r="S10" s="93">
        <f>'[3]Calendar 2018 '!N36</f>
        <v>2.507446281275607E-3</v>
      </c>
      <c r="T10" s="94">
        <f>'[3]Financial 2018_19'!N36</f>
        <v>2.5408692985594435E-3</v>
      </c>
      <c r="U10" s="2">
        <f>'[3]Calendar 2019'!N36</f>
        <v>1.7783634102966751E-3</v>
      </c>
    </row>
    <row r="11" spans="1:23" x14ac:dyDescent="0.2">
      <c r="A11" s="2">
        <v>8</v>
      </c>
      <c r="B11" s="2" t="s">
        <v>10</v>
      </c>
      <c r="C11" s="92">
        <f>'[3]Q4, 2015 - Q3, 2016'!J37</f>
        <v>2.1314261245417905</v>
      </c>
      <c r="D11" s="92">
        <f>'[3]Calendar 2016'!J37</f>
        <v>2.252095806615463</v>
      </c>
      <c r="E11" s="92">
        <f>'[3]Financial 16_17'!J37</f>
        <v>2.2357068439733481</v>
      </c>
      <c r="F11" s="92">
        <f>'[3]Calendar 2017'!J37</f>
        <v>2.2368369447574206</v>
      </c>
      <c r="G11" s="92">
        <f>'[3]Financial 2017_18'!J37</f>
        <v>2.3051894495529868</v>
      </c>
      <c r="H11" s="92">
        <f>'[3]Calendar 2018 '!J37</f>
        <v>2.3312764937916999</v>
      </c>
      <c r="I11" s="92">
        <f>'[3]Financial 2018_19'!J37</f>
        <v>2.3875776309437389</v>
      </c>
      <c r="J11" s="92">
        <f>'[3]Calendar 2019'!J37</f>
        <v>1.7853903248990939</v>
      </c>
      <c r="L11" s="2">
        <v>8</v>
      </c>
      <c r="M11" s="2" t="s">
        <v>10</v>
      </c>
      <c r="N11" s="93">
        <f>'[3]Dec 2015 to Sep 2016'!N37</f>
        <v>2.7608766466738514E-3</v>
      </c>
      <c r="O11" s="93">
        <f>'[3]Calendar 2016'!N37</f>
        <v>2.564139391818189E-3</v>
      </c>
      <c r="P11" s="93">
        <f>'[3]Financial 16_17'!N37</f>
        <v>2.5985644954266618E-3</v>
      </c>
      <c r="Q11" s="93">
        <f>'[3]Calendar 2017'!N37</f>
        <v>2.6114198369867939E-3</v>
      </c>
      <c r="R11" s="93">
        <f>'[3]Financial 2017_18'!N37</f>
        <v>2.6326037968095106E-3</v>
      </c>
      <c r="S11" s="93">
        <f>'[3]Calendar 2018 '!N37</f>
        <v>2.6912439706064765E-3</v>
      </c>
      <c r="T11" s="94">
        <f>'[3]Financial 2018_19'!N37</f>
        <v>2.7024993779043182E-3</v>
      </c>
      <c r="U11" s="2">
        <f>'[3]Calendar 2019'!N37</f>
        <v>2.094861348158064E-3</v>
      </c>
    </row>
    <row r="12" spans="1:23" x14ac:dyDescent="0.2">
      <c r="A12" s="2" t="s">
        <v>30</v>
      </c>
      <c r="B12" s="2"/>
      <c r="C12" s="92">
        <f>'[3]Q4, 2015 - Q3, 2016'!J38</f>
        <v>1.5343222516023034</v>
      </c>
      <c r="D12" s="92">
        <f>'[3]Calendar 2016'!J38</f>
        <v>1.5328660970285288</v>
      </c>
      <c r="E12" s="92">
        <f>'[3]Financial 16_17'!J38</f>
        <v>1.5739016621795692</v>
      </c>
      <c r="F12" s="92">
        <f>'[3]Calendar 2017'!J38</f>
        <v>1.6000901828822083</v>
      </c>
      <c r="G12" s="92">
        <f>'[3]Financial 2017_18'!J38</f>
        <v>1.6392515002805921</v>
      </c>
      <c r="H12" s="92">
        <f>'[3]Calendar 2018 '!J38</f>
        <v>1.7082467359817861</v>
      </c>
      <c r="I12" s="92">
        <f>'[3]Financial 2018_19'!J38</f>
        <v>1.7103467323462438</v>
      </c>
      <c r="J12" s="92">
        <f>'[3]Calendar 2019'!J38</f>
        <v>1.3903498254833511</v>
      </c>
      <c r="L12" s="2" t="s">
        <v>30</v>
      </c>
      <c r="M12" s="2"/>
      <c r="N12" s="93">
        <f>'[3]Dec 2015 to Sep 2016'!N38</f>
        <v>1.0160859767790033E-3</v>
      </c>
      <c r="O12" s="93">
        <f>'[3]Calendar 2016'!N38</f>
        <v>1.0118401008626008E-3</v>
      </c>
      <c r="P12" s="93">
        <f>'[3]Financial 16_17'!N38</f>
        <v>1.002935049606966E-3</v>
      </c>
      <c r="Q12" s="93">
        <f>'[3]Calendar 2017'!N38</f>
        <v>1.0190990999945978E-3</v>
      </c>
      <c r="R12" s="93">
        <f>'[3]Financial 2017_18'!N38</f>
        <v>1.0358520960551409E-3</v>
      </c>
      <c r="S12" s="93">
        <f>'[3]Calendar 2018 '!N38</f>
        <v>1.0292968731856109E-3</v>
      </c>
      <c r="T12" s="94">
        <f>'[3]Financial 2018_19'!N38</f>
        <v>1.0213772537515451E-3</v>
      </c>
      <c r="U12" s="2">
        <f>'[3]Calendar 2019'!N38</f>
        <v>9.8995761323529422E-4</v>
      </c>
    </row>
    <row r="15" spans="1:23" x14ac:dyDescent="0.2">
      <c r="A15" s="2" t="s">
        <v>31</v>
      </c>
      <c r="B15" s="2" t="s">
        <v>11</v>
      </c>
      <c r="C15" s="135" t="s">
        <v>2</v>
      </c>
      <c r="D15" s="136"/>
      <c r="E15" s="136"/>
      <c r="F15" s="136"/>
      <c r="G15" s="136"/>
      <c r="H15" s="136"/>
      <c r="I15" s="136"/>
      <c r="J15" s="136"/>
      <c r="L15" s="2" t="s">
        <v>31</v>
      </c>
      <c r="M15" s="2" t="s">
        <v>11</v>
      </c>
      <c r="N15" s="135" t="s">
        <v>24</v>
      </c>
      <c r="O15" s="136"/>
      <c r="P15" s="136"/>
      <c r="Q15" s="136"/>
      <c r="R15" s="136"/>
      <c r="S15" s="136"/>
      <c r="T15" s="136"/>
      <c r="U15" s="136"/>
    </row>
    <row r="16" spans="1:23" ht="25.5" x14ac:dyDescent="0.2">
      <c r="A16" s="2" t="s">
        <v>25</v>
      </c>
      <c r="B16" s="2" t="s">
        <v>26</v>
      </c>
      <c r="C16" s="28" t="s">
        <v>27</v>
      </c>
      <c r="D16" s="28" t="s">
        <v>28</v>
      </c>
      <c r="E16" s="28" t="s">
        <v>29</v>
      </c>
      <c r="F16" s="28" t="s">
        <v>51</v>
      </c>
      <c r="G16" s="28" t="s">
        <v>62</v>
      </c>
      <c r="H16" s="28" t="s">
        <v>66</v>
      </c>
      <c r="I16" s="28" t="s">
        <v>69</v>
      </c>
      <c r="J16" s="28" t="s">
        <v>86</v>
      </c>
      <c r="L16" s="2" t="s">
        <v>25</v>
      </c>
      <c r="M16" s="2" t="s">
        <v>26</v>
      </c>
      <c r="N16" s="28" t="s">
        <v>27</v>
      </c>
      <c r="O16" s="28" t="s">
        <v>28</v>
      </c>
      <c r="P16" s="28" t="s">
        <v>29</v>
      </c>
      <c r="Q16" s="28" t="s">
        <v>51</v>
      </c>
      <c r="R16" s="28" t="s">
        <v>62</v>
      </c>
      <c r="S16" s="28" t="s">
        <v>66</v>
      </c>
      <c r="T16" s="28" t="s">
        <v>69</v>
      </c>
      <c r="U16" s="28" t="s">
        <v>86</v>
      </c>
    </row>
    <row r="17" spans="1:21" x14ac:dyDescent="0.2">
      <c r="A17" s="2">
        <v>1</v>
      </c>
      <c r="B17" s="2" t="s">
        <v>3</v>
      </c>
      <c r="C17" s="92">
        <f>'[3]Q4, 2015 - Q3, 2016'!J62</f>
        <v>1.6515469326153915</v>
      </c>
      <c r="D17" s="92">
        <f>'[3]Calendar 2016'!J62</f>
        <v>1.5703098789991619</v>
      </c>
      <c r="E17" s="92">
        <f>'[3]Financial 16_17'!J62</f>
        <v>1.7972717891204204</v>
      </c>
      <c r="F17" s="92">
        <f>'[3]Calendar 2017'!J62</f>
        <v>1.7860000128954709</v>
      </c>
      <c r="G17" s="92">
        <f>'[3]Financial 2017_18'!J62</f>
        <v>1.7821910162645709</v>
      </c>
      <c r="H17" s="92">
        <f>'[3]Calendar 2018 '!J62</f>
        <v>1.733408504256265</v>
      </c>
      <c r="I17" s="92">
        <f>'[3]Financial 2018_19'!J62</f>
        <v>1.5470501123985965</v>
      </c>
      <c r="J17" s="92">
        <f>'[3]Calendar 2019'!J62</f>
        <v>1.5558950088636625</v>
      </c>
      <c r="L17" s="2">
        <v>1</v>
      </c>
      <c r="M17" s="2" t="s">
        <v>3</v>
      </c>
      <c r="N17" s="93">
        <f>'[3]Q4, 2015 - Q3, 2016'!N62</f>
        <v>6.8508900770204218E-4</v>
      </c>
      <c r="O17" s="93">
        <f>'[3]Calendar 2016'!N62</f>
        <v>6.8457453557184628E-4</v>
      </c>
      <c r="P17" s="93">
        <f>'[3]Financial 16_17'!N62</f>
        <v>6.0717003140690255E-4</v>
      </c>
      <c r="Q17" s="93">
        <f>'[3]Calendar 2017'!N62</f>
        <v>5.5716934070222201E-4</v>
      </c>
      <c r="R17" s="93">
        <f>'[3]Financial 2017_18'!N62</f>
        <v>5.5002806068491427E-4</v>
      </c>
      <c r="S17" s="93">
        <f>'[3]Calendar 2018 '!N62</f>
        <v>5.4555252015286992E-4</v>
      </c>
      <c r="T17" s="93">
        <f>'[3]Financial 2018_19'!N62</f>
        <v>5.2686351684812097E-4</v>
      </c>
      <c r="U17" s="2">
        <f>'[3]Calendar 2019'!N62</f>
        <v>6.7610280030788554E-4</v>
      </c>
    </row>
    <row r="18" spans="1:21" x14ac:dyDescent="0.2">
      <c r="A18" s="2">
        <v>2</v>
      </c>
      <c r="B18" s="2" t="s">
        <v>4</v>
      </c>
      <c r="C18" s="92">
        <f>'[3]Q4, 2015 - Q3, 2016'!J63</f>
        <v>1.5188677816135865</v>
      </c>
      <c r="D18" s="92">
        <f>'[3]Calendar 2016'!J63</f>
        <v>1.5176272288208679</v>
      </c>
      <c r="E18" s="92">
        <f>'[3]Financial 16_17'!J63</f>
        <v>1.5610784379081144</v>
      </c>
      <c r="F18" s="92">
        <f>'[3]Calendar 2017'!J63</f>
        <v>1.5981611971655543</v>
      </c>
      <c r="G18" s="92">
        <f>'[3]Financial 2017_18'!J63</f>
        <v>1.5559333554005617</v>
      </c>
      <c r="H18" s="92">
        <f>'[3]Calendar 2018 '!J63</f>
        <v>1.6032272559495631</v>
      </c>
      <c r="I18" s="92">
        <f>'[3]Financial 2018_19'!J63</f>
        <v>1.8361588998357739</v>
      </c>
      <c r="J18" s="92">
        <f>'[3]Calendar 2019'!J63</f>
        <v>1.6714403322398363</v>
      </c>
      <c r="L18" s="2">
        <v>2</v>
      </c>
      <c r="M18" s="2" t="s">
        <v>4</v>
      </c>
      <c r="N18" s="93">
        <f>'[3]Q4, 2015 - Q3, 2016'!N63</f>
        <v>8.4296239821496594E-4</v>
      </c>
      <c r="O18" s="93">
        <f>'[3]Calendar 2016'!N63</f>
        <v>8.4124712055744027E-4</v>
      </c>
      <c r="P18" s="93">
        <f>'[3]Financial 16_17'!N63</f>
        <v>7.54904702107952E-4</v>
      </c>
      <c r="Q18" s="93">
        <f>'[3]Calendar 2017'!N63</f>
        <v>7.2103767611127829E-4</v>
      </c>
      <c r="R18" s="93">
        <f>'[3]Financial 2017_18'!N63</f>
        <v>6.9647893587658602E-4</v>
      </c>
      <c r="S18" s="93">
        <f>'[3]Calendar 2018 '!N63</f>
        <v>6.9922856755214719E-4</v>
      </c>
      <c r="T18" s="93">
        <f>'[3]Financial 2018_19'!N63</f>
        <v>6.0834982537738157E-4</v>
      </c>
      <c r="U18" s="2">
        <f>'[3]Calendar 2019'!N63</f>
        <v>5.4139032843415161E-4</v>
      </c>
    </row>
    <row r="19" spans="1:21" x14ac:dyDescent="0.2">
      <c r="A19" s="2">
        <v>3</v>
      </c>
      <c r="B19" s="2" t="s">
        <v>5</v>
      </c>
      <c r="C19" s="92">
        <f>'[3]Q4, 2015 - Q3, 2016'!J64</f>
        <v>1.6435506191715168</v>
      </c>
      <c r="D19" s="92">
        <f>'[3]Calendar 2016'!J64</f>
        <v>1.6704586196681077</v>
      </c>
      <c r="E19" s="92">
        <f>'[3]Financial 16_17'!J64</f>
        <v>2.0190491842728187</v>
      </c>
      <c r="F19" s="92">
        <f>'[3]Calendar 2017'!J64</f>
        <v>1.9627679587245335</v>
      </c>
      <c r="G19" s="92">
        <f>'[3]Financial 2017_18'!J64</f>
        <v>1.6655342685784822</v>
      </c>
      <c r="H19" s="92">
        <f>'[3]Calendar 2018 '!J64</f>
        <v>1.6536835451658414</v>
      </c>
      <c r="I19" s="92">
        <f>'[3]Financial 2018_19'!J64</f>
        <v>1.7350015630417279</v>
      </c>
      <c r="J19" s="92">
        <f>'[3]Calendar 2019'!J64</f>
        <v>1.6566100578852827</v>
      </c>
      <c r="L19" s="2">
        <v>3</v>
      </c>
      <c r="M19" s="2" t="s">
        <v>5</v>
      </c>
      <c r="N19" s="93">
        <f>'[3]Q4, 2015 - Q3, 2016'!N64</f>
        <v>7.4649847698700605E-4</v>
      </c>
      <c r="O19" s="93">
        <f>'[3]Calendar 2016'!N64</f>
        <v>7.3970724499572253E-4</v>
      </c>
      <c r="P19" s="93">
        <f>'[3]Financial 16_17'!N64</f>
        <v>6.6478371097641474E-4</v>
      </c>
      <c r="Q19" s="93">
        <f>'[3]Calendar 2017'!N64</f>
        <v>5.7465829249008264E-4</v>
      </c>
      <c r="R19" s="93">
        <f>'[3]Financial 2017_18'!N64</f>
        <v>5.6680225620581637E-4</v>
      </c>
      <c r="S19" s="93">
        <f>'[3]Calendar 2018 '!N64</f>
        <v>5.6687143619844871E-4</v>
      </c>
      <c r="T19" s="93">
        <f>'[3]Financial 2018_19'!N64</f>
        <v>5.2467949681089191E-4</v>
      </c>
      <c r="U19" s="2">
        <f>'[3]Calendar 2019'!N64</f>
        <v>5.6391027921139049E-4</v>
      </c>
    </row>
    <row r="20" spans="1:21" x14ac:dyDescent="0.2">
      <c r="A20" s="2">
        <v>4</v>
      </c>
      <c r="B20" s="2" t="s">
        <v>6</v>
      </c>
      <c r="C20" s="92">
        <f>'[3]Q4, 2015 - Q3, 2016'!J65</f>
        <v>1.6665986918832181</v>
      </c>
      <c r="D20" s="92">
        <f>'[3]Calendar 2016'!J65</f>
        <v>1.5854479856132044</v>
      </c>
      <c r="E20" s="92">
        <f>'[3]Financial 16_17'!J65</f>
        <v>1.601302698429786</v>
      </c>
      <c r="F20" s="92">
        <f>'[3]Calendar 2017'!J65</f>
        <v>1.8391482955175802</v>
      </c>
      <c r="G20" s="92">
        <f>'[3]Financial 2017_18'!J65</f>
        <v>2.1511211715234189</v>
      </c>
      <c r="H20" s="92">
        <f>'[3]Calendar 2018 '!J65</f>
        <v>3.4755005328295976</v>
      </c>
      <c r="I20" s="92">
        <f>'[3]Financial 2018_19'!J65</f>
        <v>3.2451743154534891</v>
      </c>
      <c r="J20" s="92">
        <f>'[3]Calendar 2019'!J65</f>
        <v>1.8658681489833069</v>
      </c>
      <c r="L20" s="2">
        <v>4</v>
      </c>
      <c r="M20" s="2" t="s">
        <v>6</v>
      </c>
      <c r="N20" s="93">
        <f>'[3]Q4, 2015 - Q3, 2016'!N65</f>
        <v>7.9333553550487161E-4</v>
      </c>
      <c r="O20" s="93">
        <f>'[3]Calendar 2016'!N65</f>
        <v>7.3676722354249131E-4</v>
      </c>
      <c r="P20" s="93">
        <f>'[3]Financial 16_17'!N65</f>
        <v>7.0322086209856024E-4</v>
      </c>
      <c r="Q20" s="93">
        <f>'[3]Calendar 2017'!N65</f>
        <v>8.2001126687161242E-4</v>
      </c>
      <c r="R20" s="93">
        <f>'[3]Financial 2017_18'!N65</f>
        <v>9.8201223924516902E-4</v>
      </c>
      <c r="S20" s="93">
        <f>'[3]Calendar 2018 '!N65</f>
        <v>8.5476611856891301E-4</v>
      </c>
      <c r="T20" s="93">
        <f>'[3]Financial 2018_19'!N65</f>
        <v>7.4268846857013021E-4</v>
      </c>
      <c r="U20" s="2">
        <f>'[3]Calendar 2019'!N65</f>
        <v>7.8771144238861269E-4</v>
      </c>
    </row>
    <row r="21" spans="1:21" x14ac:dyDescent="0.2">
      <c r="A21" s="2">
        <v>5</v>
      </c>
      <c r="B21" s="2" t="s">
        <v>7</v>
      </c>
      <c r="C21" s="92">
        <f>'[3]Q4, 2015 - Q3, 2016'!J66</f>
        <v>1.6372967336113959</v>
      </c>
      <c r="D21" s="92">
        <f>'[3]Calendar 2016'!J66</f>
        <v>1.7236396454092284</v>
      </c>
      <c r="E21" s="92">
        <f>'[3]Financial 16_17'!J66</f>
        <v>1.9502826594244609</v>
      </c>
      <c r="F21" s="92">
        <f>'[3]Calendar 2017'!J66</f>
        <v>2.1356570887089701</v>
      </c>
      <c r="G21" s="92">
        <f>'[3]Financial 2017_18'!J66</f>
        <v>2.1050692997597875</v>
      </c>
      <c r="H21" s="92">
        <f>'[3]Calendar 2018 '!J66</f>
        <v>1.9665630168677062</v>
      </c>
      <c r="I21" s="92">
        <f>'[3]Financial 2018_19'!J66</f>
        <v>2.283037046375755</v>
      </c>
      <c r="J21" s="92">
        <f>'[3]Calendar 2019'!J66</f>
        <v>2.053928522049103</v>
      </c>
      <c r="L21" s="2">
        <v>5</v>
      </c>
      <c r="M21" s="2" t="s">
        <v>7</v>
      </c>
      <c r="N21" s="93">
        <f>'[3]Q4, 2015 - Q3, 2016'!N66</f>
        <v>9.0990401323845299E-4</v>
      </c>
      <c r="O21" s="93">
        <f>'[3]Calendar 2016'!N66</f>
        <v>8.9772890517519541E-4</v>
      </c>
      <c r="P21" s="93">
        <f>'[3]Financial 16_17'!N66</f>
        <v>7.040226031872778E-4</v>
      </c>
      <c r="Q21" s="93">
        <f>'[3]Calendar 2017'!N66</f>
        <v>6.7627062459665725E-4</v>
      </c>
      <c r="R21" s="93">
        <f>'[3]Financial 2017_18'!N66</f>
        <v>7.6216352387876312E-4</v>
      </c>
      <c r="S21" s="93">
        <f>'[3]Calendar 2018 '!N66</f>
        <v>7.2400277267935058E-4</v>
      </c>
      <c r="T21" s="93">
        <f>'[3]Financial 2018_19'!N66</f>
        <v>6.2783691884426413E-4</v>
      </c>
      <c r="U21" s="2">
        <f>'[3]Calendar 2019'!N66</f>
        <v>6.2768636505950229E-4</v>
      </c>
    </row>
    <row r="22" spans="1:21" x14ac:dyDescent="0.2">
      <c r="A22" s="2">
        <v>6</v>
      </c>
      <c r="B22" s="2" t="s">
        <v>8</v>
      </c>
      <c r="C22" s="92">
        <f>'[3]Q4, 2015 - Q3, 2016'!J67</f>
        <v>3.3616800206423729</v>
      </c>
      <c r="D22" s="92">
        <f>'[3]Calendar 2016'!J67</f>
        <v>3.2163587060922447</v>
      </c>
      <c r="E22" s="92">
        <f>'[3]Financial 16_17'!J67</f>
        <v>3.6680813278468789</v>
      </c>
      <c r="F22" s="92">
        <f>'[3]Calendar 2017'!J67</f>
        <v>4.5831565700816794</v>
      </c>
      <c r="G22" s="92">
        <f>'[3]Financial 2017_18'!J67</f>
        <v>4.6789215486046425</v>
      </c>
      <c r="H22" s="92">
        <f>'[3]Calendar 2018 '!J67</f>
        <v>3.0453060877413138</v>
      </c>
      <c r="I22" s="92">
        <f>'[3]Financial 2018_19'!J67</f>
        <v>2.8563531985360968</v>
      </c>
      <c r="J22" s="92">
        <f>'[3]Calendar 2019'!J67</f>
        <v>2.2322271185848073</v>
      </c>
      <c r="L22" s="2">
        <v>6</v>
      </c>
      <c r="M22" s="2" t="s">
        <v>8</v>
      </c>
      <c r="N22" s="93">
        <f>'[3]Q4, 2015 - Q3, 2016'!N67</f>
        <v>1.8312949038459389E-3</v>
      </c>
      <c r="O22" s="93">
        <f>'[3]Calendar 2016'!N67</f>
        <v>1.8428457265292719E-3</v>
      </c>
      <c r="P22" s="93">
        <f>'[3]Financial 16_17'!N67</f>
        <v>1.4805219864405114E-3</v>
      </c>
      <c r="Q22" s="93">
        <f>'[3]Calendar 2017'!N67</f>
        <v>1.2625253379340371E-3</v>
      </c>
      <c r="R22" s="93">
        <f>'[3]Financial 2017_18'!N67</f>
        <v>1.4052887855347408E-3</v>
      </c>
      <c r="S22" s="93">
        <f>'[3]Calendar 2018 '!N67</f>
        <v>1.3805111312036279E-3</v>
      </c>
      <c r="T22" s="93">
        <f>'[3]Financial 2018_19'!N67</f>
        <v>1.0868786410926569E-3</v>
      </c>
      <c r="U22" s="2">
        <f>'[3]Calendar 2019'!N67</f>
        <v>9.3910400337867393E-4</v>
      </c>
    </row>
    <row r="23" spans="1:21" x14ac:dyDescent="0.2">
      <c r="A23" s="2">
        <v>7</v>
      </c>
      <c r="B23" s="2" t="s">
        <v>9</v>
      </c>
      <c r="C23" s="92">
        <f>'[3]Q4, 2015 - Q3, 2016'!J68</f>
        <v>3.119979666088605</v>
      </c>
      <c r="D23" s="92">
        <f>'[3]Calendar 2016'!J68</f>
        <v>3.1886823439465219</v>
      </c>
      <c r="E23" s="92">
        <f>'[3]Financial 16_17'!J68</f>
        <v>2.1212005283074209</v>
      </c>
      <c r="F23" s="92">
        <f>'[3]Calendar 2017'!J68</f>
        <v>2.1878253447037999</v>
      </c>
      <c r="G23" s="92">
        <f>'[3]Financial 2017_18'!J68</f>
        <v>4.7184601644773236</v>
      </c>
      <c r="H23" s="92">
        <f>'[3]Calendar 2018 '!J68</f>
        <v>4.9562684667005499</v>
      </c>
      <c r="I23" s="92">
        <f>'[3]Financial 2018_19'!J68</f>
        <v>3.7625016825845612</v>
      </c>
      <c r="J23" s="92">
        <f>'[3]Calendar 2019'!J68</f>
        <v>2.5413186717929741</v>
      </c>
      <c r="L23" s="2">
        <v>7</v>
      </c>
      <c r="M23" s="2" t="s">
        <v>9</v>
      </c>
      <c r="N23" s="93">
        <f>'[3]Q4, 2015 - Q3, 2016'!N68</f>
        <v>2.7833210472898271E-3</v>
      </c>
      <c r="O23" s="93">
        <f>'[3]Calendar 2016'!N68</f>
        <v>2.7765586154811514E-3</v>
      </c>
      <c r="P23" s="93">
        <f>'[3]Financial 16_17'!N68</f>
        <v>3.0451992971195188E-3</v>
      </c>
      <c r="Q23" s="93">
        <f>'[3]Calendar 2017'!N68</f>
        <v>2.159813463068263E-3</v>
      </c>
      <c r="R23" s="93">
        <f>'[3]Financial 2017_18'!N68</f>
        <v>1.9000752243013923E-3</v>
      </c>
      <c r="S23" s="93">
        <f>'[3]Calendar 2018 '!N68</f>
        <v>1.5411143168607862E-3</v>
      </c>
      <c r="T23" s="93">
        <f>'[3]Financial 2018_19'!N68</f>
        <v>1.3754457954734563E-3</v>
      </c>
      <c r="U23" s="2">
        <f>'[3]Calendar 2019'!N68</f>
        <v>1.0122747853494542E-3</v>
      </c>
    </row>
    <row r="24" spans="1:21" x14ac:dyDescent="0.2">
      <c r="A24" s="2">
        <v>8</v>
      </c>
      <c r="B24" s="2" t="s">
        <v>10</v>
      </c>
      <c r="C24" s="92">
        <f>'[3]Q4, 2015 - Q3, 2016'!J69</f>
        <v>2.0410309506371225</v>
      </c>
      <c r="D24" s="92">
        <f>'[3]Calendar 2016'!J69</f>
        <v>2.1129504389114926</v>
      </c>
      <c r="E24" s="92">
        <f>'[3]Financial 16_17'!J69</f>
        <v>2.0978945829230469</v>
      </c>
      <c r="F24" s="92">
        <f>'[3]Calendar 2017'!J69</f>
        <v>2.1092175003929254</v>
      </c>
      <c r="G24" s="92">
        <f>'[3]Financial 2017_18'!J69</f>
        <v>2.5148026532244105</v>
      </c>
      <c r="H24" s="92">
        <f>'[3]Calendar 2018 '!J69</f>
        <v>2.3601374276887404</v>
      </c>
      <c r="I24" s="92">
        <f>'[3]Financial 2018_19'!J69</f>
        <v>2.0933215540194929</v>
      </c>
      <c r="J24" s="92">
        <f>'[3]Calendar 2019'!J69</f>
        <v>1.7561899360019864</v>
      </c>
      <c r="L24" s="2">
        <v>8</v>
      </c>
      <c r="M24" s="2" t="s">
        <v>10</v>
      </c>
      <c r="N24" s="93">
        <f>'[3]Q4, 2015 - Q3, 2016'!N69</f>
        <v>2.0504742038825663E-3</v>
      </c>
      <c r="O24" s="93">
        <f>'[3]Calendar 2016'!N69</f>
        <v>1.9364342122447555E-3</v>
      </c>
      <c r="P24" s="93">
        <f>'[3]Financial 16_17'!N69</f>
        <v>1.7400719814452958E-3</v>
      </c>
      <c r="Q24" s="93">
        <f>'[3]Calendar 2017'!N69</f>
        <v>1.5607983505768613E-3</v>
      </c>
      <c r="R24" s="93">
        <f>'[3]Financial 2017_18'!N69</f>
        <v>1.9035252325051955E-3</v>
      </c>
      <c r="S24" s="93">
        <f>'[3]Calendar 2018 '!N69</f>
        <v>1.7543412169125955E-3</v>
      </c>
      <c r="T24" s="93">
        <f>'[3]Financial 2018_19'!N69</f>
        <v>1.3757500989673747E-3</v>
      </c>
      <c r="U24" s="2">
        <f>'[3]Calendar 2019'!N69</f>
        <v>1.2796374358977449E-3</v>
      </c>
    </row>
    <row r="25" spans="1:21" x14ac:dyDescent="0.2">
      <c r="A25" s="2" t="s">
        <v>30</v>
      </c>
      <c r="B25" s="2"/>
      <c r="C25" s="92">
        <f>'[3]Q4, 2015 - Q3, 2016'!J70</f>
        <v>1.7405569793836675</v>
      </c>
      <c r="D25" s="92">
        <f>'[3]Calendar 2016'!J70</f>
        <v>1.7130425705395222</v>
      </c>
      <c r="E25" s="92">
        <f>'[3]Financial 16_17'!J70</f>
        <v>1.9235976026342925</v>
      </c>
      <c r="F25" s="92">
        <f>'[3]Calendar 2017'!J70</f>
        <v>1.9767080057393469</v>
      </c>
      <c r="G25" s="92">
        <f>'[3]Financial 2017_18'!J70</f>
        <v>1.9334512967260211</v>
      </c>
      <c r="H25" s="92">
        <f>'[3]Calendar 2018 '!J70</f>
        <v>1.9396452558366144</v>
      </c>
      <c r="I25" s="92">
        <f>'[3]Financial 2018_19'!J70</f>
        <v>1.9342081307979448</v>
      </c>
      <c r="J25" s="92">
        <f>'[3]Calendar 2019'!J70</f>
        <v>1.7499580213843988</v>
      </c>
      <c r="L25" s="2" t="s">
        <v>30</v>
      </c>
      <c r="M25" s="2"/>
      <c r="N25" s="93">
        <f>'[3]Q4, 2015 - Q3, 2016'!N70</f>
        <v>8.3669329419344815E-4</v>
      </c>
      <c r="O25" s="93">
        <f>'[3]Calendar 2016'!N70</f>
        <v>8.2741039263371069E-4</v>
      </c>
      <c r="P25" s="93">
        <f>'[3]Financial 16_17'!N70</f>
        <v>7.3133043033876645E-4</v>
      </c>
      <c r="Q25" s="93">
        <f>'[3]Calendar 2017'!N70</f>
        <v>6.8216764562187933E-4</v>
      </c>
      <c r="R25" s="93">
        <f>'[3]Financial 2017_18'!N70</f>
        <v>6.9877331376711881E-4</v>
      </c>
      <c r="S25" s="93">
        <f>'[3]Calendar 2018 '!N70</f>
        <v>6.7785036390684435E-4</v>
      </c>
      <c r="T25" s="93">
        <f>'[3]Financial 2018_19'!N70</f>
        <v>6.0799742835474435E-4</v>
      </c>
      <c r="U25" s="2">
        <f>'[3]Calendar 2019'!N70</f>
        <v>6.3999332970512241E-4</v>
      </c>
    </row>
    <row r="28" spans="1:21" x14ac:dyDescent="0.2">
      <c r="L28" s="16"/>
    </row>
    <row r="30" spans="1:21" x14ac:dyDescent="0.2">
      <c r="L30" s="16" t="s">
        <v>87</v>
      </c>
    </row>
  </sheetData>
  <mergeCells count="4">
    <mergeCell ref="C2:J2"/>
    <mergeCell ref="N2:U2"/>
    <mergeCell ref="C15:J15"/>
    <mergeCell ref="N15:U15"/>
  </mergeCells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Additional functionality</vt:lpstr>
      <vt:lpstr>Sig test across jurisdictions</vt:lpstr>
      <vt:lpstr>Sig test across time</vt:lpstr>
      <vt:lpstr>Max, Min Adult+Child limits</vt:lpstr>
      <vt:lpstr>Options &amp; WEFF across juris</vt:lpstr>
      <vt:lpstr>Options and WEFFS across time</vt:lpstr>
      <vt:lpstr>Options &amp; WEFF Max, Min</vt:lpstr>
      <vt:lpstr>WEFF values source</vt:lpstr>
      <vt:lpstr>Summary for Sigtest sheet</vt:lpstr>
      <vt:lpstr>WEFF values</vt:lpstr>
      <vt:lpstr>frac_1</vt:lpstr>
      <vt:lpstr>frac_2</vt:lpstr>
      <vt:lpstr>frac_3</vt:lpstr>
      <vt:lpstr>frac_4</vt:lpstr>
      <vt:lpstr>frac_5</vt:lpstr>
      <vt:lpstr>frac_6</vt:lpstr>
      <vt:lpstr>WEFF_1</vt:lpstr>
      <vt:lpstr>WEFF_2</vt:lpstr>
      <vt:lpstr>WEFF_3</vt:lpstr>
      <vt:lpstr>WEFF_4</vt:lpstr>
      <vt:lpstr>WEFF_5</vt:lpstr>
      <vt:lpstr>WEFF_6</vt:lpstr>
    </vt:vector>
  </TitlesOfParts>
  <Company>ORC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Hughes</dc:creator>
  <cp:lastModifiedBy>Gary Rauber</cp:lastModifiedBy>
  <dcterms:created xsi:type="dcterms:W3CDTF">2016-10-26T01:26:48Z</dcterms:created>
  <dcterms:modified xsi:type="dcterms:W3CDTF">2020-06-24T05:59:12Z</dcterms:modified>
</cp:coreProperties>
</file>